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drawings/drawing2.xml" ContentType="application/vnd.openxmlformats-officedocument.drawing+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drawings/drawing3.xml" ContentType="application/vnd.openxmlformats-officedocument.drawing+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drawings/drawing4.xml" ContentType="application/vnd.openxmlformats-officedocument.drawing+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drawings/drawing5.xml" ContentType="application/vnd.openxmlformats-officedocument.drawing+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drawings/drawing6.xml" ContentType="application/vnd.openxmlformats-officedocument.drawing+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drawings/drawing7.xml" ContentType="application/vnd.openxmlformats-officedocument.drawing+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Andrew\Desktop\COMSCC 2025 Classing\"/>
    </mc:Choice>
  </mc:AlternateContent>
  <xr:revisionPtr revIDLastSave="0" documentId="13_ncr:1_{596059E6-5A26-4351-B067-73246B7EF96C}" xr6:coauthVersionLast="47" xr6:coauthVersionMax="47" xr10:uidLastSave="{00000000-0000-0000-0000-000000000000}"/>
  <bookViews>
    <workbookView xWindow="-98" yWindow="-98" windowWidth="21795" windowHeight="12975" firstSheet="1" activeTab="1" xr2:uid="{00000000-000D-0000-FFFF-FFFF00000000}"/>
  </bookViews>
  <sheets>
    <sheet name="Instructions" sheetId="17" r:id="rId1"/>
    <sheet name="Summary" sheetId="7" r:id="rId2"/>
    <sheet name="Vehicles" sheetId="15" r:id="rId3"/>
    <sheet name="Engine" sheetId="1" r:id="rId4"/>
    <sheet name="Drivetrain" sheetId="2" r:id="rId5"/>
    <sheet name="Suspension" sheetId="8" r:id="rId6"/>
    <sheet name="Brakes" sheetId="10" r:id="rId7"/>
    <sheet name="Exterior" sheetId="9" r:id="rId8"/>
    <sheet name="Weight" sheetId="11" r:id="rId9"/>
    <sheet name="Tires" sheetId="12" r:id="rId10"/>
    <sheet name="not used" sheetId="16" state="hidden" r:id="rId11"/>
  </sheets>
  <definedNames>
    <definedName name="_xlnm._FilterDatabase" localSheetId="2" hidden="1">Vehicles!$A$11:$W$11</definedName>
    <definedName name="ABSMods" localSheetId="6">Brakes!$A$10:$C$11</definedName>
    <definedName name="Assessments" localSheetId="1">Summary!$B$21:$B$27</definedName>
    <definedName name="BallastAmount">Weight!$B$19</definedName>
    <definedName name="BallastFuelLevel">Weight!$B$22</definedName>
    <definedName name="BallastFuelType">Weight!$B$21</definedName>
    <definedName name="BallastLocation">Weight!$B$20</definedName>
    <definedName name="Base_Assessments" comment="The list of points per class.">Summary!$A$39:$A$48</definedName>
    <definedName name="Base_Classes" comment="The list of touring base classes">Summary!$B$39:$B$48</definedName>
    <definedName name="Brakes_mods_list" localSheetId="6">Brakes!$A$9:$C$19</definedName>
    <definedName name="Brand_Assessment">Tires!$B$80</definedName>
    <definedName name="CamsMods" localSheetId="3">Engine!$A$28:$A$28</definedName>
    <definedName name="Car_Base_Class">Vehicles!$O$8</definedName>
    <definedName name="Car_Base_Points">Vehicles!$N$8</definedName>
    <definedName name="Car_Base_Weight">Vehicles!$F$8</definedName>
    <definedName name="Car_List" comment="The whole car list minus the title row." localSheetId="2">Vehicles!$A$12:$S$486</definedName>
    <definedName name="Car_List" comment="The entire car list.  Update scope if car list extended.">Vehicles!$A$12:$O$486</definedName>
    <definedName name="Car_List_Top_Left" localSheetId="2">Vehicles!$A$11</definedName>
    <definedName name="Car_Make">Summary!$B$12</definedName>
    <definedName name="Car_Model">Summary!$B$13</definedName>
    <definedName name="Car_Scaled_Power">Vehicles!$K$8</definedName>
    <definedName name="Car_Select_Error">Vehicles!$S$9</definedName>
    <definedName name="Car_Selected_Truth">Vehicles!$P$12:$P$486</definedName>
    <definedName name="Car_Valid">Vehicles!$Q$9</definedName>
    <definedName name="CatsMods" localSheetId="3">Engine!$A$39:$A$40</definedName>
    <definedName name="CIAMods">Engine!$A$15:$A$16</definedName>
    <definedName name="Class_max">Summary!$H$33</definedName>
    <definedName name="Classification">Summary!$F$33</definedName>
    <definedName name="ClassificationTire">Summary!$G$33</definedName>
    <definedName name="column1_topleft" comment="top left of column 1" localSheetId="10">'not used'!$B$47</definedName>
    <definedName name="column2_topleft" localSheetId="10">'not used'!$H$47</definedName>
    <definedName name="Competition_class">Tires!$B$77</definedName>
    <definedName name="Competition_Weight">Weight!$B$10</definedName>
    <definedName name="CompressionMods" localSheetId="3">Engine!$A$33:$A$34</definedName>
    <definedName name="COMSCC_2018_v1.0">Vehicles!$A$1</definedName>
    <definedName name="COMSCC_2018_v5.0">Summary!$A$1</definedName>
    <definedName name="COMSCC_2024_v12.0">Summary!$A$1</definedName>
    <definedName name="COMSCC_2024_v12.1">Summary!$A$1</definedName>
    <definedName name="COMSCC_2025_v5.0">Summary!$A$1</definedName>
    <definedName name="DisplaceIncrease" localSheetId="3">Engine!$I$32:$I$61</definedName>
    <definedName name="DisplacementMods" localSheetId="3">Engine!$A$32:$A$32</definedName>
    <definedName name="DisplacePoints" localSheetId="3">Engine!$J$32:$J$61</definedName>
    <definedName name="Drivetrain_mods_list" localSheetId="4">Drivetrain!$A$9:$C$30</definedName>
    <definedName name="Drivetrain_type">Engine!$B$69</definedName>
    <definedName name="dyno_names" localSheetId="3">Engine!$F$69:$F$73</definedName>
    <definedName name="Dyno_Points">Engine!$A$72</definedName>
    <definedName name="Dyno_table" localSheetId="3">Engine!$F$69:$H$73</definedName>
    <definedName name="ECUmods" localSheetId="3">Engine!$A$9:$A$12</definedName>
    <definedName name="Engine_mods_list" comment="The engine mods check list" localSheetId="3">Engine!$A$9:$C$58</definedName>
    <definedName name="Engine_power_type">Engine!$B$68</definedName>
    <definedName name="EngineModsTotal" localSheetId="3">Engine!$B$59</definedName>
    <definedName name="Exterior_mods_list" localSheetId="7">Exterior!$A$9:$C$29</definedName>
    <definedName name="Factory_Rated_HP">Summary!$B$14</definedName>
    <definedName name="Factory_Rated_Torque">Summary!$B$15</definedName>
    <definedName name="FuelAmount" localSheetId="8">Weight!$E$22</definedName>
    <definedName name="FuelLevel">" "</definedName>
    <definedName name="FuelLevelTable" localSheetId="8">Weight!$F$4:$G$14</definedName>
    <definedName name="FuelType" localSheetId="8">Weight!$F$18:$F$19</definedName>
    <definedName name="FuelType">Weight!$B$21</definedName>
    <definedName name="Gearboxmods" localSheetId="4">Drivetrain!$A$9:$A$18</definedName>
    <definedName name="Hardtopmods" localSheetId="7">Exterior!$A$16:$A$17</definedName>
    <definedName name="Headersmods" localSheetId="3">Engine!$A$36:$A$37</definedName>
    <definedName name="Intakemods" localSheetId="3">Engine!$A$19:$A$20</definedName>
    <definedName name="Is_Safety_upgrade">Summary!$B$37</definedName>
    <definedName name="LSDmods" localSheetId="4">Drivetrain!$A$20:$A$21</definedName>
    <definedName name="NeedDyno">Engine!$J$8</definedName>
    <definedName name="per_10" localSheetId="9">Tires!$G$77</definedName>
    <definedName name="per_15" localSheetId="9">Tires!$G$79</definedName>
    <definedName name="per_20" localSheetId="9">Tires!$G$82</definedName>
    <definedName name="Points_Assessment">Summary!$B$28</definedName>
    <definedName name="PoundsPerGallon" localSheetId="8">Weight!$E$21</definedName>
    <definedName name="_xlnm.Print_Area" localSheetId="6">Brakes!$A$3:$C$24</definedName>
    <definedName name="_xlnm.Print_Area" localSheetId="4">Drivetrain!$A$3:$C$35</definedName>
    <definedName name="_xlnm.Print_Area" localSheetId="3">Engine!$A$3:$C$74</definedName>
    <definedName name="_xlnm.Print_Area" localSheetId="7">Exterior!$A$3:$C$38</definedName>
    <definedName name="_xlnm.Print_Area" localSheetId="10">'not used'!$A$1:$K$100</definedName>
    <definedName name="_xlnm.Print_Area" localSheetId="1">Summary!$A$3:$D$34</definedName>
    <definedName name="_xlnm.Print_Area" localSheetId="5">Suspension!$A$3:$C$43</definedName>
    <definedName name="_xlnm.Print_Area" localSheetId="9">Tires!$A$3:$C$88</definedName>
    <definedName name="_xlnm.Print_Area" localSheetId="2">Vehicles!$A$3:$O$486</definedName>
    <definedName name="_xlnm.Print_Area" localSheetId="8">Weight!$A$3:$C$40</definedName>
    <definedName name="_xlnm.Print_Titles" localSheetId="3">Engine!$8:$8</definedName>
    <definedName name="_xlnm.Print_Titles" localSheetId="2">Vehicles!$11:$11</definedName>
    <definedName name="Public_Brake_Mods">Brakes!$A$9:$G$19</definedName>
    <definedName name="Public_Drivetrain_Mods">Drivetrain!$A$9:$I$30</definedName>
    <definedName name="Public_Engine_Mods">Engine!$A$9:$F$58</definedName>
    <definedName name="Public_Exterior_Mods">Exterior!$A$9:$I$29</definedName>
    <definedName name="Public_Suspension_Mods">Suspension!$A$9:$I$38</definedName>
    <definedName name="RotaryportsMods">Engine!$A$43:$A$45</definedName>
    <definedName name="Safety_Engine">Summary!$B$35</definedName>
    <definedName name="Safety_mods">Summary!$B$36</definedName>
    <definedName name="Safety_Rules">Summary!$A$55:$A$70</definedName>
    <definedName name="Scrutineer_Engine_Points">Engine!$A$72</definedName>
    <definedName name="Scrutineer_HP">Engine!$B$66</definedName>
    <definedName name="Scrutineer_Torque">Engine!$B$67</definedName>
    <definedName name="SelectCount" localSheetId="9">Tires!$D$74</definedName>
    <definedName name="Selected_Vehicle">Vehicles!$B$8:$O$8</definedName>
    <definedName name="Shocksmods" localSheetId="5">Suspension!$A$9:$A$12</definedName>
    <definedName name="Showroom_Assessment_Points">Summary!$B$17</definedName>
    <definedName name="Showroom_Base_Weight">Summary!$B$16</definedName>
    <definedName name="Showroom_Class">Summary!$B$18</definedName>
    <definedName name="Size_235" localSheetId="9">Tires!$F$79</definedName>
    <definedName name="Size_275" localSheetId="9">Tires!$F$82</definedName>
    <definedName name="SplitterMods">Exterior!$A$10:$A$11</definedName>
    <definedName name="Springsmods" localSheetId="5">Suspension!$A$14:$A$15</definedName>
    <definedName name="SuperchargerMods" localSheetId="3">Engine!$A$22:$A$22</definedName>
    <definedName name="Suspension_mods_list" localSheetId="5">Suspension!$A$9:$C$38</definedName>
    <definedName name="Tire_Class_Width" localSheetId="9">Tires!$C$91:$K$92</definedName>
    <definedName name="Tire_Competition_Class">Tires!$B$78</definedName>
    <definedName name="Tire_Compound">Tires!$F$8</definedName>
    <definedName name="Tire_Difference_Points" localSheetId="9">Tires!$D$94:$AC$95</definedName>
    <definedName name="Tire_list" localSheetId="9">Tires!$A$9:$C$73</definedName>
    <definedName name="Tire_spec_width">Tires!$D$77</definedName>
    <definedName name="Tire_Type_Assessment">Tires!$B$74</definedName>
    <definedName name="Tire_Width">Tires!$B$83</definedName>
    <definedName name="Tire_Width_Assessment">Tires!$B$84</definedName>
    <definedName name="Title">Summary!$C$3</definedName>
    <definedName name="Torquebarmods" localSheetId="5">Suspension!$A$24:$A$25</definedName>
    <definedName name="Total" localSheetId="6">Brakes!$B$20</definedName>
    <definedName name="Total" localSheetId="4">Drivetrain!$B$31</definedName>
    <definedName name="Total" localSheetId="7">Exterior!$B$30</definedName>
    <definedName name="Total" localSheetId="5">Suspension!$B$39</definedName>
    <definedName name="Total" localSheetId="9">Tires!$B$74</definedName>
    <definedName name="Total_Assessment">Summary!$B$31</definedName>
    <definedName name="Total_Brakes" comment="Total from the brakes sheet.">Brakes!$B$22</definedName>
    <definedName name="Total_Drivetrain">Drivetrain!$B$33</definedName>
    <definedName name="Total_Engine" comment="Total from engine page">Engine!$B$74</definedName>
    <definedName name="Total_Exterior" comment="Total from the exterior sheet">Exterior!$B$36</definedName>
    <definedName name="Total_Suspension" comment="Total from the suspension page">Suspension!$B$41</definedName>
    <definedName name="Total_Tire" comment="Total from the tire assessment page">Tires!$B$86</definedName>
    <definedName name="Total_Weight" comment="Total points from the weight assessment page.">Weight!$B$13</definedName>
    <definedName name="Touring_Class">Summary!$B$33</definedName>
    <definedName name="TurboMods">Engine!$A$13:$A$14</definedName>
    <definedName name="Version">Summary!$B$3</definedName>
    <definedName name="Weight_Difference">Weight!$B$11</definedName>
    <definedName name="Weight_List" localSheetId="8">Weight!#REF!</definedName>
    <definedName name="Weight_Points" localSheetId="8">Weight!#REF!</definedName>
    <definedName name="Wingmods" localSheetId="7">Exterior!$A$13:$A$15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9" l="1"/>
  <c r="E11" i="9"/>
  <c r="E13" i="9"/>
  <c r="E14" i="9"/>
  <c r="E15" i="9"/>
  <c r="E16" i="9"/>
  <c r="E17" i="9"/>
  <c r="E19" i="9"/>
  <c r="E22" i="9"/>
  <c r="E10" i="9"/>
  <c r="E9" i="9"/>
  <c r="F13" i="9"/>
  <c r="G13" i="9" s="1"/>
  <c r="F16" i="9"/>
  <c r="G16" i="9" s="1"/>
  <c r="F10" i="9"/>
  <c r="G10" i="9" s="1"/>
  <c r="F14" i="9"/>
  <c r="G14" i="9" s="1"/>
  <c r="F35" i="12"/>
  <c r="F36" i="12"/>
  <c r="F37" i="12"/>
  <c r="F52" i="12"/>
  <c r="F53" i="12"/>
  <c r="F62" i="12"/>
  <c r="F63" i="12"/>
  <c r="F64" i="12"/>
  <c r="T270" i="15"/>
  <c r="T290" i="15"/>
  <c r="P270" i="15"/>
  <c r="P290" i="15"/>
  <c r="M290" i="15"/>
  <c r="M270" i="15"/>
  <c r="I290" i="15"/>
  <c r="J290" i="15" s="1"/>
  <c r="K290" i="15" s="1"/>
  <c r="I270" i="15"/>
  <c r="J270" i="15" s="1"/>
  <c r="K270" i="15" s="1"/>
  <c r="N270" i="15" s="1"/>
  <c r="O270" i="15" s="1"/>
  <c r="G37" i="1"/>
  <c r="G36" i="1"/>
  <c r="G38" i="1"/>
  <c r="G40" i="1"/>
  <c r="G39" i="1"/>
  <c r="G34" i="1"/>
  <c r="G33" i="1"/>
  <c r="H10" i="9" l="1"/>
  <c r="H16" i="9"/>
  <c r="N290" i="15"/>
  <c r="O290" i="15" s="1"/>
  <c r="G12" i="1"/>
  <c r="G11" i="1"/>
  <c r="G10" i="1"/>
  <c r="G9" i="1"/>
  <c r="G16" i="1"/>
  <c r="G15" i="1"/>
  <c r="G20" i="1"/>
  <c r="G19" i="1"/>
  <c r="G44" i="1"/>
  <c r="G43" i="1"/>
  <c r="F10" i="1" l="1"/>
  <c r="F11" i="1"/>
  <c r="F12" i="1"/>
  <c r="F13" i="1"/>
  <c r="F14" i="1"/>
  <c r="F15" i="1"/>
  <c r="F16" i="1"/>
  <c r="F17" i="1"/>
  <c r="F18" i="1"/>
  <c r="F19" i="1"/>
  <c r="F20" i="1"/>
  <c r="F21" i="1"/>
  <c r="F22" i="1"/>
  <c r="J22" i="1" s="1"/>
  <c r="F23" i="1"/>
  <c r="F24" i="1"/>
  <c r="F25" i="1"/>
  <c r="F26" i="1"/>
  <c r="F31" i="1"/>
  <c r="J31" i="1" s="1"/>
  <c r="F32" i="1"/>
  <c r="J32" i="1" s="1"/>
  <c r="F33" i="1"/>
  <c r="F34" i="1"/>
  <c r="J34" i="1" s="1"/>
  <c r="F35" i="1"/>
  <c r="F36" i="1"/>
  <c r="F37" i="1"/>
  <c r="F38" i="1"/>
  <c r="F39" i="1"/>
  <c r="F40" i="1"/>
  <c r="F41" i="1"/>
  <c r="F42" i="1"/>
  <c r="F43" i="1"/>
  <c r="J43" i="1" s="1"/>
  <c r="F44" i="1"/>
  <c r="J44" i="1" s="1"/>
  <c r="F45" i="1"/>
  <c r="J45" i="1" s="1"/>
  <c r="F47" i="1"/>
  <c r="J47" i="1" s="1"/>
  <c r="F48" i="1"/>
  <c r="F51" i="1"/>
  <c r="F53" i="1"/>
  <c r="F56" i="1"/>
  <c r="F57" i="1"/>
  <c r="F58" i="1"/>
  <c r="D17" i="1"/>
  <c r="D18" i="1"/>
  <c r="D21" i="1"/>
  <c r="D27" i="1"/>
  <c r="D28" i="1"/>
  <c r="F28" i="1" s="1"/>
  <c r="J28" i="1" s="1"/>
  <c r="D29" i="1"/>
  <c r="F30" i="1"/>
  <c r="J30" i="1" s="1"/>
  <c r="F46" i="1"/>
  <c r="J46" i="1" s="1"/>
  <c r="D49" i="1"/>
  <c r="F49" i="1" s="1"/>
  <c r="D50" i="1"/>
  <c r="F50" i="1" s="1"/>
  <c r="D52" i="1"/>
  <c r="F52" i="1" s="1"/>
  <c r="D54" i="1"/>
  <c r="F54" i="1" s="1"/>
  <c r="F55" i="1"/>
  <c r="D56" i="1"/>
  <c r="D57" i="1"/>
  <c r="F9" i="1"/>
  <c r="G31" i="1"/>
  <c r="G32" i="1"/>
  <c r="G28" i="1" l="1"/>
  <c r="G29" i="1"/>
  <c r="G30" i="1"/>
  <c r="G26" i="1"/>
  <c r="G27" i="1"/>
  <c r="F29" i="1"/>
  <c r="J29" i="1" s="1"/>
  <c r="G14" i="1"/>
  <c r="G13" i="1"/>
  <c r="F27" i="1"/>
  <c r="J8" i="1"/>
  <c r="F11" i="9" l="1"/>
  <c r="F15" i="9"/>
  <c r="F17" i="9"/>
  <c r="F19" i="9"/>
  <c r="F22" i="9"/>
  <c r="F30" i="9"/>
  <c r="F31" i="9"/>
  <c r="F32" i="9"/>
  <c r="A1" i="7" l="1"/>
  <c r="F16" i="12" l="1"/>
  <c r="F15" i="12"/>
  <c r="F14" i="12"/>
  <c r="F13" i="12"/>
  <c r="F12" i="12"/>
  <c r="F11" i="12"/>
  <c r="F10" i="12"/>
  <c r="T289" i="15"/>
  <c r="P289" i="15"/>
  <c r="M289" i="15"/>
  <c r="I289" i="15"/>
  <c r="J289" i="15" s="1"/>
  <c r="K289" i="15" s="1"/>
  <c r="T48" i="15"/>
  <c r="P48" i="15"/>
  <c r="M48" i="15"/>
  <c r="I48" i="15"/>
  <c r="J48" i="15" s="1"/>
  <c r="K48" i="15" s="1"/>
  <c r="N48" i="15" l="1"/>
  <c r="O48" i="15" s="1"/>
  <c r="N289" i="15"/>
  <c r="O289" i="15" s="1"/>
  <c r="T229" i="15"/>
  <c r="M12" i="15"/>
  <c r="P229" i="15"/>
  <c r="M442" i="15"/>
  <c r="M229" i="15"/>
  <c r="I229" i="15"/>
  <c r="J229" i="15" s="1"/>
  <c r="K229" i="15" s="1"/>
  <c r="P442" i="15"/>
  <c r="I442" i="15"/>
  <c r="J442" i="15" s="1"/>
  <c r="K442" i="15" s="1"/>
  <c r="T95" i="15"/>
  <c r="P95" i="15"/>
  <c r="T94" i="15"/>
  <c r="P94" i="15"/>
  <c r="M95" i="15"/>
  <c r="M94" i="15"/>
  <c r="I95" i="15"/>
  <c r="J95" i="15" s="1"/>
  <c r="K95" i="15" s="1"/>
  <c r="I94" i="15"/>
  <c r="J94" i="15" s="1"/>
  <c r="K94" i="15" s="1"/>
  <c r="F68" i="12"/>
  <c r="F66" i="12"/>
  <c r="F67" i="12"/>
  <c r="F65" i="12"/>
  <c r="B83" i="12"/>
  <c r="N442" i="15" l="1"/>
  <c r="O442" i="15" s="1"/>
  <c r="N229" i="15"/>
  <c r="O229" i="15" s="1"/>
  <c r="N95" i="15"/>
  <c r="O95" i="15" s="1"/>
  <c r="N94" i="15"/>
  <c r="O94" i="15" s="1"/>
  <c r="D77" i="12"/>
  <c r="F71" i="12"/>
  <c r="F70" i="12"/>
  <c r="F55" i="12"/>
  <c r="F73" i="12"/>
  <c r="F72" i="12"/>
  <c r="F69" i="12"/>
  <c r="F57" i="12"/>
  <c r="F61" i="12"/>
  <c r="F60" i="12"/>
  <c r="F59" i="12"/>
  <c r="F49" i="12"/>
  <c r="F51" i="12"/>
  <c r="F45" i="12"/>
  <c r="F48" i="12"/>
  <c r="F42" i="12"/>
  <c r="F44" i="12"/>
  <c r="F46" i="12"/>
  <c r="F43" i="12"/>
  <c r="F56" i="12"/>
  <c r="F58" i="12"/>
  <c r="F54" i="12"/>
  <c r="F47" i="12"/>
  <c r="F41" i="12"/>
  <c r="F40" i="12"/>
  <c r="F33" i="12"/>
  <c r="F50" i="12"/>
  <c r="F39" i="12"/>
  <c r="F32" i="12"/>
  <c r="F34" i="12"/>
  <c r="F38" i="12"/>
  <c r="F31" i="12"/>
  <c r="F29" i="12"/>
  <c r="F30" i="12"/>
  <c r="F24" i="12"/>
  <c r="F28" i="12"/>
  <c r="F27" i="12"/>
  <c r="F26" i="12"/>
  <c r="F25" i="12"/>
  <c r="F23" i="12"/>
  <c r="F22" i="12"/>
  <c r="F19" i="12"/>
  <c r="F20" i="12"/>
  <c r="F17" i="12"/>
  <c r="F21" i="12"/>
  <c r="F18" i="12"/>
  <c r="T485" i="15"/>
  <c r="P485" i="15"/>
  <c r="T484" i="15"/>
  <c r="P484" i="15"/>
  <c r="T483" i="15"/>
  <c r="P483" i="15"/>
  <c r="T482" i="15"/>
  <c r="P482" i="15"/>
  <c r="T458" i="15"/>
  <c r="P458" i="15"/>
  <c r="T457" i="15"/>
  <c r="P457" i="15"/>
  <c r="T456" i="15"/>
  <c r="P456" i="15"/>
  <c r="T443" i="15"/>
  <c r="P443" i="15"/>
  <c r="T419" i="15"/>
  <c r="P419" i="15"/>
  <c r="T428" i="15"/>
  <c r="P428" i="15"/>
  <c r="T358" i="15"/>
  <c r="P358" i="15"/>
  <c r="T328" i="15"/>
  <c r="P328" i="15"/>
  <c r="T309" i="15"/>
  <c r="P309" i="15"/>
  <c r="T292" i="15"/>
  <c r="P292" i="15"/>
  <c r="T291" i="15"/>
  <c r="P291" i="15"/>
  <c r="T259" i="15"/>
  <c r="P259" i="15"/>
  <c r="T258" i="15"/>
  <c r="P258" i="15"/>
  <c r="T253" i="15"/>
  <c r="P253" i="15"/>
  <c r="T252" i="15"/>
  <c r="P252" i="15"/>
  <c r="T251" i="15"/>
  <c r="P251" i="15"/>
  <c r="T212" i="15"/>
  <c r="P212" i="15"/>
  <c r="T153" i="15"/>
  <c r="P153" i="15"/>
  <c r="T151" i="15"/>
  <c r="P151" i="15"/>
  <c r="T129" i="15"/>
  <c r="P129" i="15"/>
  <c r="T112" i="15"/>
  <c r="P112" i="15"/>
  <c r="T111" i="15"/>
  <c r="P111" i="15"/>
  <c r="T50" i="15"/>
  <c r="P50" i="15"/>
  <c r="T84" i="15"/>
  <c r="P84" i="15"/>
  <c r="T88" i="15"/>
  <c r="P88" i="15"/>
  <c r="T87" i="15"/>
  <c r="P87" i="15"/>
  <c r="T64" i="15"/>
  <c r="P64" i="15"/>
  <c r="T86" i="15"/>
  <c r="P86" i="15"/>
  <c r="T85" i="15"/>
  <c r="P85" i="15"/>
  <c r="T46" i="15"/>
  <c r="P46" i="15"/>
  <c r="M428" i="15"/>
  <c r="M212" i="15"/>
  <c r="M129" i="15"/>
  <c r="M251" i="15"/>
  <c r="M252" i="15"/>
  <c r="M253" i="15"/>
  <c r="M291" i="15"/>
  <c r="I428" i="15"/>
  <c r="J428" i="15" s="1"/>
  <c r="K428" i="15" s="1"/>
  <c r="I212" i="15"/>
  <c r="J212" i="15" s="1"/>
  <c r="K212" i="15" s="1"/>
  <c r="I129" i="15"/>
  <c r="J129" i="15" s="1"/>
  <c r="K129" i="15" s="1"/>
  <c r="I251" i="15"/>
  <c r="J251" i="15" s="1"/>
  <c r="K251" i="15" s="1"/>
  <c r="I252" i="15"/>
  <c r="J252" i="15" s="1"/>
  <c r="K252" i="15" s="1"/>
  <c r="I253" i="15"/>
  <c r="J253" i="15" s="1"/>
  <c r="K253" i="15" s="1"/>
  <c r="I291" i="15"/>
  <c r="J291" i="15" s="1"/>
  <c r="K291" i="15" s="1"/>
  <c r="M358" i="15"/>
  <c r="M482" i="15"/>
  <c r="M258" i="15"/>
  <c r="M85" i="15"/>
  <c r="M86" i="15"/>
  <c r="M64" i="15"/>
  <c r="M483" i="15"/>
  <c r="M46" i="15"/>
  <c r="M259" i="15"/>
  <c r="M309" i="15"/>
  <c r="M151" i="15"/>
  <c r="M87" i="15"/>
  <c r="M88" i="15"/>
  <c r="M84" i="15"/>
  <c r="M153" i="15"/>
  <c r="M484" i="15"/>
  <c r="M50" i="15"/>
  <c r="M419" i="15"/>
  <c r="M443" i="15"/>
  <c r="M328" i="15"/>
  <c r="M485" i="15"/>
  <c r="M457" i="15"/>
  <c r="M458" i="15"/>
  <c r="M111" i="15"/>
  <c r="M112" i="15"/>
  <c r="M456" i="15"/>
  <c r="M292" i="15"/>
  <c r="I358" i="15"/>
  <c r="J358" i="15" s="1"/>
  <c r="K358" i="15" s="1"/>
  <c r="I482" i="15"/>
  <c r="J482" i="15" s="1"/>
  <c r="K482" i="15" s="1"/>
  <c r="I258" i="15"/>
  <c r="J258" i="15" s="1"/>
  <c r="K258" i="15" s="1"/>
  <c r="I85" i="15"/>
  <c r="J85" i="15" s="1"/>
  <c r="K85" i="15" s="1"/>
  <c r="I86" i="15"/>
  <c r="J86" i="15" s="1"/>
  <c r="K86" i="15" s="1"/>
  <c r="I64" i="15"/>
  <c r="J64" i="15" s="1"/>
  <c r="K64" i="15" s="1"/>
  <c r="I483" i="15"/>
  <c r="J483" i="15" s="1"/>
  <c r="K483" i="15" s="1"/>
  <c r="I46" i="15"/>
  <c r="J46" i="15" s="1"/>
  <c r="K46" i="15" s="1"/>
  <c r="I259" i="15"/>
  <c r="J259" i="15" s="1"/>
  <c r="K259" i="15" s="1"/>
  <c r="I309" i="15"/>
  <c r="J309" i="15" s="1"/>
  <c r="K309" i="15" s="1"/>
  <c r="I151" i="15"/>
  <c r="J151" i="15" s="1"/>
  <c r="K151" i="15" s="1"/>
  <c r="I87" i="15"/>
  <c r="J87" i="15" s="1"/>
  <c r="K87" i="15" s="1"/>
  <c r="I88" i="15"/>
  <c r="J88" i="15" s="1"/>
  <c r="K88" i="15" s="1"/>
  <c r="I84" i="15"/>
  <c r="J84" i="15" s="1"/>
  <c r="K84" i="15" s="1"/>
  <c r="I153" i="15"/>
  <c r="J153" i="15" s="1"/>
  <c r="K153" i="15" s="1"/>
  <c r="I484" i="15"/>
  <c r="J484" i="15" s="1"/>
  <c r="K484" i="15" s="1"/>
  <c r="I50" i="15"/>
  <c r="J50" i="15" s="1"/>
  <c r="K50" i="15" s="1"/>
  <c r="I419" i="15"/>
  <c r="J419" i="15" s="1"/>
  <c r="K419" i="15" s="1"/>
  <c r="I443" i="15"/>
  <c r="J443" i="15" s="1"/>
  <c r="K443" i="15" s="1"/>
  <c r="I328" i="15"/>
  <c r="J328" i="15" s="1"/>
  <c r="K328" i="15" s="1"/>
  <c r="I485" i="15"/>
  <c r="J485" i="15" s="1"/>
  <c r="K485" i="15" s="1"/>
  <c r="I457" i="15"/>
  <c r="J457" i="15" s="1"/>
  <c r="K457" i="15" s="1"/>
  <c r="I458" i="15"/>
  <c r="J458" i="15" s="1"/>
  <c r="K458" i="15" s="1"/>
  <c r="I111" i="15"/>
  <c r="J111" i="15" s="1"/>
  <c r="K111" i="15" s="1"/>
  <c r="I112" i="15"/>
  <c r="J112" i="15" s="1"/>
  <c r="K112" i="15" s="1"/>
  <c r="I456" i="15"/>
  <c r="J456" i="15" s="1"/>
  <c r="K456" i="15" s="1"/>
  <c r="I292" i="15"/>
  <c r="J292" i="15" s="1"/>
  <c r="K292" i="15" s="1"/>
  <c r="T16" i="15"/>
  <c r="P254" i="15"/>
  <c r="T15" i="15"/>
  <c r="P152" i="15"/>
  <c r="T14" i="15"/>
  <c r="P232" i="15"/>
  <c r="T13" i="15"/>
  <c r="P231" i="15"/>
  <c r="M232" i="15"/>
  <c r="M152" i="15"/>
  <c r="M254" i="15"/>
  <c r="M231" i="15"/>
  <c r="I232" i="15"/>
  <c r="J232" i="15" s="1"/>
  <c r="K232" i="15" s="1"/>
  <c r="I152" i="15"/>
  <c r="J152" i="15" s="1"/>
  <c r="K152" i="15" s="1"/>
  <c r="I254" i="15"/>
  <c r="J254" i="15" s="1"/>
  <c r="K254" i="15" s="1"/>
  <c r="I231" i="15"/>
  <c r="J231" i="15" s="1"/>
  <c r="K231" i="15" s="1"/>
  <c r="B32" i="7"/>
  <c r="G33" i="7"/>
  <c r="G14" i="2"/>
  <c r="F20" i="2"/>
  <c r="F9" i="2"/>
  <c r="E27" i="2"/>
  <c r="G27" i="2" s="1"/>
  <c r="E18" i="2"/>
  <c r="G18" i="2" s="1"/>
  <c r="E17" i="2"/>
  <c r="G17" i="2" s="1"/>
  <c r="E15" i="2"/>
  <c r="G15" i="2" s="1"/>
  <c r="E16" i="2"/>
  <c r="G16" i="2" s="1"/>
  <c r="E13" i="2"/>
  <c r="G13" i="2" s="1"/>
  <c r="E14" i="2"/>
  <c r="E19" i="2"/>
  <c r="G19" i="2" s="1"/>
  <c r="E20" i="2"/>
  <c r="G20" i="2" s="1"/>
  <c r="E21" i="2"/>
  <c r="E25" i="2"/>
  <c r="G25" i="2" s="1"/>
  <c r="E10" i="2"/>
  <c r="G10" i="2" s="1"/>
  <c r="E11" i="2"/>
  <c r="G11" i="2" s="1"/>
  <c r="E12" i="2"/>
  <c r="G12" i="2" s="1"/>
  <c r="M13" i="15"/>
  <c r="I13" i="15"/>
  <c r="J13" i="15" s="1"/>
  <c r="K13" i="15" s="1"/>
  <c r="T19" i="15"/>
  <c r="T20" i="15"/>
  <c r="T21" i="15"/>
  <c r="T22" i="15"/>
  <c r="T23" i="15"/>
  <c r="T24" i="15"/>
  <c r="T25" i="15"/>
  <c r="T26" i="15"/>
  <c r="T27" i="15"/>
  <c r="T28" i="15"/>
  <c r="T29" i="15"/>
  <c r="T30" i="15"/>
  <c r="T31" i="15"/>
  <c r="T32" i="15"/>
  <c r="T33" i="15"/>
  <c r="T34" i="15"/>
  <c r="T35" i="15"/>
  <c r="T36" i="15"/>
  <c r="T37" i="15"/>
  <c r="T38" i="15"/>
  <c r="T39" i="15"/>
  <c r="T40" i="15"/>
  <c r="T41" i="15"/>
  <c r="T42" i="15"/>
  <c r="T43" i="15"/>
  <c r="T44" i="15"/>
  <c r="T45" i="15"/>
  <c r="T47" i="15"/>
  <c r="T49" i="15"/>
  <c r="T51" i="15"/>
  <c r="T52" i="15"/>
  <c r="T53" i="15"/>
  <c r="T54" i="15"/>
  <c r="T55" i="15"/>
  <c r="T56" i="15"/>
  <c r="T57" i="15"/>
  <c r="T58" i="15"/>
  <c r="T59" i="15"/>
  <c r="T60" i="15"/>
  <c r="T61" i="15"/>
  <c r="T62" i="15"/>
  <c r="T63" i="15"/>
  <c r="T65" i="15"/>
  <c r="T66" i="15"/>
  <c r="T67" i="15"/>
  <c r="T68" i="15"/>
  <c r="T69" i="15"/>
  <c r="T70" i="15"/>
  <c r="T71" i="15"/>
  <c r="T72" i="15"/>
  <c r="T73" i="15"/>
  <c r="T74" i="15"/>
  <c r="T75" i="15"/>
  <c r="T76" i="15"/>
  <c r="T77" i="15"/>
  <c r="T89" i="15"/>
  <c r="T90" i="15"/>
  <c r="T91" i="15"/>
  <c r="T92" i="15"/>
  <c r="T93" i="15"/>
  <c r="T96" i="15"/>
  <c r="T78" i="15"/>
  <c r="T79" i="15"/>
  <c r="T80" i="15"/>
  <c r="T81" i="15"/>
  <c r="T82" i="15"/>
  <c r="T83" i="15"/>
  <c r="T97" i="15"/>
  <c r="T98" i="15"/>
  <c r="T99" i="15"/>
  <c r="T100" i="15"/>
  <c r="T101" i="15"/>
  <c r="T102" i="15"/>
  <c r="T103" i="15"/>
  <c r="T104" i="15"/>
  <c r="T105" i="15"/>
  <c r="T106" i="15"/>
  <c r="T107" i="15"/>
  <c r="T108" i="15"/>
  <c r="T109" i="15"/>
  <c r="T110" i="15"/>
  <c r="T113" i="15"/>
  <c r="T114" i="15"/>
  <c r="T115" i="15"/>
  <c r="T116" i="15"/>
  <c r="T117" i="15"/>
  <c r="T118" i="15"/>
  <c r="T119" i="15"/>
  <c r="T120" i="15"/>
  <c r="T121" i="15"/>
  <c r="T122" i="15"/>
  <c r="T123" i="15"/>
  <c r="T124" i="15"/>
  <c r="T125" i="15"/>
  <c r="T126" i="15"/>
  <c r="T127" i="15"/>
  <c r="T128" i="15"/>
  <c r="T130" i="15"/>
  <c r="T131" i="15"/>
  <c r="T132" i="15"/>
  <c r="T133" i="15"/>
  <c r="T134" i="15"/>
  <c r="T135" i="15"/>
  <c r="T136" i="15"/>
  <c r="T137" i="15"/>
  <c r="T138" i="15"/>
  <c r="T139" i="15"/>
  <c r="T140" i="15"/>
  <c r="T141" i="15"/>
  <c r="T142" i="15"/>
  <c r="T143" i="15"/>
  <c r="T144" i="15"/>
  <c r="T145" i="15"/>
  <c r="T146" i="15"/>
  <c r="T147" i="15"/>
  <c r="T148" i="15"/>
  <c r="T149" i="15"/>
  <c r="T150" i="15"/>
  <c r="T152" i="15"/>
  <c r="T154" i="15"/>
  <c r="T155" i="15"/>
  <c r="T156" i="15"/>
  <c r="T157" i="15"/>
  <c r="T158" i="15"/>
  <c r="T159" i="15"/>
  <c r="T160" i="15"/>
  <c r="T161" i="15"/>
  <c r="T162" i="15"/>
  <c r="T163" i="15"/>
  <c r="T164" i="15"/>
  <c r="T165" i="15"/>
  <c r="T166" i="15"/>
  <c r="T167" i="15"/>
  <c r="T168" i="15"/>
  <c r="T169" i="15"/>
  <c r="T170" i="15"/>
  <c r="T171" i="15"/>
  <c r="T172" i="15"/>
  <c r="T173" i="15"/>
  <c r="T174" i="15"/>
  <c r="T175" i="15"/>
  <c r="T176" i="15"/>
  <c r="T177" i="15"/>
  <c r="T178" i="15"/>
  <c r="T179" i="15"/>
  <c r="T180" i="15"/>
  <c r="T181" i="15"/>
  <c r="T182" i="15"/>
  <c r="T183" i="15"/>
  <c r="T184" i="15"/>
  <c r="T185" i="15"/>
  <c r="T186" i="15"/>
  <c r="T187" i="15"/>
  <c r="T188" i="15"/>
  <c r="T189" i="15"/>
  <c r="T190" i="15"/>
  <c r="T191" i="15"/>
  <c r="T192" i="15"/>
  <c r="T193" i="15"/>
  <c r="T194" i="15"/>
  <c r="T195" i="15"/>
  <c r="T196" i="15"/>
  <c r="T197" i="15"/>
  <c r="T198" i="15"/>
  <c r="T199" i="15"/>
  <c r="T200" i="15"/>
  <c r="T201" i="15"/>
  <c r="T202" i="15"/>
  <c r="T203" i="15"/>
  <c r="T204" i="15"/>
  <c r="T205" i="15"/>
  <c r="T206" i="15"/>
  <c r="T207" i="15"/>
  <c r="T208" i="15"/>
  <c r="T209" i="15"/>
  <c r="T210" i="15"/>
  <c r="T219" i="15"/>
  <c r="T220" i="15"/>
  <c r="T221" i="15"/>
  <c r="T222" i="15"/>
  <c r="T211" i="15"/>
  <c r="T223" i="15"/>
  <c r="T224" i="15"/>
  <c r="T225" i="15"/>
  <c r="T226" i="15"/>
  <c r="T213" i="15"/>
  <c r="T214" i="15"/>
  <c r="T215" i="15"/>
  <c r="T216" i="15"/>
  <c r="T217" i="15"/>
  <c r="T218" i="15"/>
  <c r="T227" i="15"/>
  <c r="T228" i="15"/>
  <c r="T230" i="15"/>
  <c r="T231" i="15"/>
  <c r="T232" i="15"/>
  <c r="T233" i="15"/>
  <c r="T234" i="15"/>
  <c r="T235" i="15"/>
  <c r="T236" i="15"/>
  <c r="T237" i="15"/>
  <c r="T238" i="15"/>
  <c r="T239" i="15"/>
  <c r="T240" i="15"/>
  <c r="T241" i="15"/>
  <c r="T242" i="15"/>
  <c r="T243" i="15"/>
  <c r="T244" i="15"/>
  <c r="T245" i="15"/>
  <c r="T246" i="15"/>
  <c r="T247" i="15"/>
  <c r="T248" i="15"/>
  <c r="T249" i="15"/>
  <c r="T250" i="15"/>
  <c r="T254" i="15"/>
  <c r="T255" i="15"/>
  <c r="T256" i="15"/>
  <c r="T257" i="15"/>
  <c r="T260" i="15"/>
  <c r="T261" i="15"/>
  <c r="T262" i="15"/>
  <c r="T263" i="15"/>
  <c r="T264" i="15"/>
  <c r="T265" i="15"/>
  <c r="T266" i="15"/>
  <c r="T267" i="15"/>
  <c r="T268" i="15"/>
  <c r="T269" i="15"/>
  <c r="T271" i="15"/>
  <c r="T272" i="15"/>
  <c r="T273" i="15"/>
  <c r="T274" i="15"/>
  <c r="T275" i="15"/>
  <c r="T276" i="15"/>
  <c r="T277" i="15"/>
  <c r="T278" i="15"/>
  <c r="T279" i="15"/>
  <c r="T280" i="15"/>
  <c r="T281" i="15"/>
  <c r="T282" i="15"/>
  <c r="T283" i="15"/>
  <c r="T284" i="15"/>
  <c r="T285" i="15"/>
  <c r="T286" i="15"/>
  <c r="T287" i="15"/>
  <c r="T288" i="15"/>
  <c r="T293" i="15"/>
  <c r="T294" i="15"/>
  <c r="T295" i="15"/>
  <c r="T296" i="15"/>
  <c r="T297" i="15"/>
  <c r="T298" i="15"/>
  <c r="T299" i="15"/>
  <c r="T300" i="15"/>
  <c r="T301" i="15"/>
  <c r="T302" i="15"/>
  <c r="T303" i="15"/>
  <c r="T304" i="15"/>
  <c r="T305" i="15"/>
  <c r="T306" i="15"/>
  <c r="T307" i="15"/>
  <c r="T308" i="15"/>
  <c r="T310" i="15"/>
  <c r="T311" i="15"/>
  <c r="T312" i="15"/>
  <c r="T313" i="15"/>
  <c r="T314" i="15"/>
  <c r="T315" i="15"/>
  <c r="T316" i="15"/>
  <c r="T317" i="15"/>
  <c r="T318" i="15"/>
  <c r="T319" i="15"/>
  <c r="T320" i="15"/>
  <c r="T321" i="15"/>
  <c r="T322" i="15"/>
  <c r="T323" i="15"/>
  <c r="T324" i="15"/>
  <c r="T325" i="15"/>
  <c r="T326" i="15"/>
  <c r="T327" i="15"/>
  <c r="T329" i="15"/>
  <c r="T330" i="15"/>
  <c r="T331" i="15"/>
  <c r="T332" i="15"/>
  <c r="T333" i="15"/>
  <c r="T334" i="15"/>
  <c r="T335" i="15"/>
  <c r="T336" i="15"/>
  <c r="T337" i="15"/>
  <c r="T338" i="15"/>
  <c r="T339" i="15"/>
  <c r="T340" i="15"/>
  <c r="T341" i="15"/>
  <c r="T342" i="15"/>
  <c r="T343" i="15"/>
  <c r="T344" i="15"/>
  <c r="T345" i="15"/>
  <c r="T346" i="15"/>
  <c r="T347" i="15"/>
  <c r="T348" i="15"/>
  <c r="T349" i="15"/>
  <c r="T350" i="15"/>
  <c r="T351" i="15"/>
  <c r="T352" i="15"/>
  <c r="T353" i="15"/>
  <c r="T354" i="15"/>
  <c r="T355" i="15"/>
  <c r="T356" i="15"/>
  <c r="T357" i="15"/>
  <c r="T359" i="15"/>
  <c r="T360" i="15"/>
  <c r="T361" i="15"/>
  <c r="T362" i="15"/>
  <c r="T363" i="15"/>
  <c r="T364" i="15"/>
  <c r="T365" i="15"/>
  <c r="T366" i="15"/>
  <c r="T367" i="15"/>
  <c r="T368" i="15"/>
  <c r="T369" i="15"/>
  <c r="T370" i="15"/>
  <c r="T371" i="15"/>
  <c r="T372" i="15"/>
  <c r="T373" i="15"/>
  <c r="T374" i="15"/>
  <c r="T375" i="15"/>
  <c r="T376" i="15"/>
  <c r="T377" i="15"/>
  <c r="T378" i="15"/>
  <c r="T379" i="15"/>
  <c r="T380" i="15"/>
  <c r="T381" i="15"/>
  <c r="T382" i="15"/>
  <c r="T383" i="15"/>
  <c r="T384" i="15"/>
  <c r="T385" i="15"/>
  <c r="T386" i="15"/>
  <c r="T387" i="15"/>
  <c r="T388" i="15"/>
  <c r="T389" i="15"/>
  <c r="T390" i="15"/>
  <c r="T391" i="15"/>
  <c r="T392" i="15"/>
  <c r="T393" i="15"/>
  <c r="T394" i="15"/>
  <c r="T395" i="15"/>
  <c r="T396" i="15"/>
  <c r="T397" i="15"/>
  <c r="T398" i="15"/>
  <c r="T399" i="15"/>
  <c r="T400" i="15"/>
  <c r="T401" i="15"/>
  <c r="T402" i="15"/>
  <c r="T403" i="15"/>
  <c r="T404" i="15"/>
  <c r="T405" i="15"/>
  <c r="T406" i="15"/>
  <c r="T407" i="15"/>
  <c r="T408" i="15"/>
  <c r="T409" i="15"/>
  <c r="T410" i="15"/>
  <c r="T411" i="15"/>
  <c r="T412" i="15"/>
  <c r="T413" i="15"/>
  <c r="T414" i="15"/>
  <c r="T415" i="15"/>
  <c r="T416" i="15"/>
  <c r="T417" i="15"/>
  <c r="T418" i="15"/>
  <c r="T420" i="15"/>
  <c r="T421" i="15"/>
  <c r="T422" i="15"/>
  <c r="T423" i="15"/>
  <c r="T424" i="15"/>
  <c r="T425" i="15"/>
  <c r="T426" i="15"/>
  <c r="T427" i="15"/>
  <c r="T429" i="15"/>
  <c r="T430" i="15"/>
  <c r="T431" i="15"/>
  <c r="T432" i="15"/>
  <c r="T433" i="15"/>
  <c r="T434" i="15"/>
  <c r="T435" i="15"/>
  <c r="T436" i="15"/>
  <c r="T437" i="15"/>
  <c r="T438" i="15"/>
  <c r="T439" i="15"/>
  <c r="T440" i="15"/>
  <c r="T441" i="15"/>
  <c r="T444" i="15"/>
  <c r="T445" i="15"/>
  <c r="T446" i="15"/>
  <c r="T447" i="15"/>
  <c r="T448" i="15"/>
  <c r="T449" i="15"/>
  <c r="T450" i="15"/>
  <c r="T451" i="15"/>
  <c r="T452" i="15"/>
  <c r="T453" i="15"/>
  <c r="T454" i="15"/>
  <c r="T455" i="15"/>
  <c r="T459" i="15"/>
  <c r="T460" i="15"/>
  <c r="T461" i="15"/>
  <c r="T462" i="15"/>
  <c r="T463" i="15"/>
  <c r="T464" i="15"/>
  <c r="T465" i="15"/>
  <c r="T466" i="15"/>
  <c r="T467" i="15"/>
  <c r="T468" i="15"/>
  <c r="T469" i="15"/>
  <c r="T470" i="15"/>
  <c r="T471" i="15"/>
  <c r="T472" i="15"/>
  <c r="T473" i="15"/>
  <c r="T474" i="15"/>
  <c r="T475" i="15"/>
  <c r="T476" i="15"/>
  <c r="T477" i="15"/>
  <c r="T478" i="15"/>
  <c r="T479" i="15"/>
  <c r="T480" i="15"/>
  <c r="T481" i="15"/>
  <c r="T486" i="15"/>
  <c r="T18" i="15"/>
  <c r="T17"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7" i="15"/>
  <c r="M49" i="15"/>
  <c r="M51" i="15"/>
  <c r="M52" i="15"/>
  <c r="M53" i="15"/>
  <c r="M54" i="15"/>
  <c r="M55" i="15"/>
  <c r="M56" i="15"/>
  <c r="M57" i="15"/>
  <c r="M58" i="15"/>
  <c r="M59" i="15"/>
  <c r="M60" i="15"/>
  <c r="M61" i="15"/>
  <c r="M62" i="15"/>
  <c r="M63" i="15"/>
  <c r="M65" i="15"/>
  <c r="M66" i="15"/>
  <c r="M67" i="15"/>
  <c r="M68" i="15"/>
  <c r="M69" i="15"/>
  <c r="M70" i="15"/>
  <c r="M71" i="15"/>
  <c r="M72" i="15"/>
  <c r="M73" i="15"/>
  <c r="M74" i="15"/>
  <c r="M75" i="15"/>
  <c r="M76" i="15"/>
  <c r="M77" i="15"/>
  <c r="M89" i="15"/>
  <c r="M90" i="15"/>
  <c r="M91" i="15"/>
  <c r="M92" i="15"/>
  <c r="M93" i="15"/>
  <c r="M96" i="15"/>
  <c r="M78" i="15"/>
  <c r="M79" i="15"/>
  <c r="M80" i="15"/>
  <c r="M81" i="15"/>
  <c r="M82" i="15"/>
  <c r="M83" i="15"/>
  <c r="M97" i="15"/>
  <c r="M98" i="15"/>
  <c r="M99" i="15"/>
  <c r="M100" i="15"/>
  <c r="M101" i="15"/>
  <c r="M102" i="15"/>
  <c r="M103" i="15"/>
  <c r="M104" i="15"/>
  <c r="M105" i="15"/>
  <c r="M106" i="15"/>
  <c r="M107" i="15"/>
  <c r="M108" i="15"/>
  <c r="M109" i="15"/>
  <c r="M110" i="15"/>
  <c r="M113" i="15"/>
  <c r="M114" i="15"/>
  <c r="M115" i="15"/>
  <c r="M116" i="15"/>
  <c r="M117" i="15"/>
  <c r="M118" i="15"/>
  <c r="M119" i="15"/>
  <c r="M120" i="15"/>
  <c r="M121" i="15"/>
  <c r="M122" i="15"/>
  <c r="M123" i="15"/>
  <c r="M124" i="15"/>
  <c r="M125" i="15"/>
  <c r="M126" i="15"/>
  <c r="M127" i="15"/>
  <c r="M128" i="15"/>
  <c r="M130" i="15"/>
  <c r="M131" i="15"/>
  <c r="M132" i="15"/>
  <c r="M133" i="15"/>
  <c r="M134" i="15"/>
  <c r="M135" i="15"/>
  <c r="M136" i="15"/>
  <c r="M142" i="15"/>
  <c r="M137" i="15"/>
  <c r="M143" i="15"/>
  <c r="M138" i="15"/>
  <c r="M139" i="15"/>
  <c r="M140" i="15"/>
  <c r="M141" i="15"/>
  <c r="M144" i="15"/>
  <c r="M145" i="15"/>
  <c r="M146" i="15"/>
  <c r="M147" i="15"/>
  <c r="M148" i="15"/>
  <c r="M149" i="15"/>
  <c r="M150" i="15"/>
  <c r="M154" i="15"/>
  <c r="M155" i="15"/>
  <c r="M156" i="15"/>
  <c r="M168" i="15"/>
  <c r="M157" i="15"/>
  <c r="M158" i="15"/>
  <c r="M159" i="15"/>
  <c r="M160" i="15"/>
  <c r="M161" i="15"/>
  <c r="M162" i="15"/>
  <c r="M163" i="15"/>
  <c r="M164" i="15"/>
  <c r="M165" i="15"/>
  <c r="M166" i="15"/>
  <c r="M167"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9" i="15"/>
  <c r="M220" i="15"/>
  <c r="M221" i="15"/>
  <c r="M222" i="15"/>
  <c r="M211" i="15"/>
  <c r="M223" i="15"/>
  <c r="M224" i="15"/>
  <c r="M225" i="15"/>
  <c r="M226" i="15"/>
  <c r="M213" i="15"/>
  <c r="M214" i="15"/>
  <c r="M215" i="15"/>
  <c r="M216" i="15"/>
  <c r="M217" i="15"/>
  <c r="M218" i="15"/>
  <c r="M227" i="15"/>
  <c r="M228" i="15"/>
  <c r="M230" i="15"/>
  <c r="M233" i="15"/>
  <c r="M234" i="15"/>
  <c r="M235" i="15"/>
  <c r="M236" i="15"/>
  <c r="M237" i="15"/>
  <c r="M238" i="15"/>
  <c r="M239" i="15"/>
  <c r="M240" i="15"/>
  <c r="M241" i="15"/>
  <c r="M242" i="15"/>
  <c r="M243" i="15"/>
  <c r="M244" i="15"/>
  <c r="M245" i="15"/>
  <c r="M246" i="15"/>
  <c r="M247" i="15"/>
  <c r="M248" i="15"/>
  <c r="M249" i="15"/>
  <c r="M250" i="15"/>
  <c r="M255" i="15"/>
  <c r="M256" i="15"/>
  <c r="M257" i="15"/>
  <c r="M260" i="15"/>
  <c r="M261" i="15"/>
  <c r="M262" i="15"/>
  <c r="M263" i="15"/>
  <c r="M264" i="15"/>
  <c r="M265" i="15"/>
  <c r="M266" i="15"/>
  <c r="M267" i="15"/>
  <c r="M268" i="15"/>
  <c r="M269" i="15"/>
  <c r="M271" i="15"/>
  <c r="M272" i="15"/>
  <c r="M273" i="15"/>
  <c r="M274" i="15"/>
  <c r="M275" i="15"/>
  <c r="M276" i="15"/>
  <c r="M277" i="15"/>
  <c r="M278" i="15"/>
  <c r="M279" i="15"/>
  <c r="M280" i="15"/>
  <c r="M281" i="15"/>
  <c r="M282" i="15"/>
  <c r="M283" i="15"/>
  <c r="M284" i="15"/>
  <c r="M285" i="15"/>
  <c r="M286" i="15"/>
  <c r="M287" i="15"/>
  <c r="M288" i="15"/>
  <c r="M293" i="15"/>
  <c r="M294" i="15"/>
  <c r="M295" i="15"/>
  <c r="M296" i="15"/>
  <c r="M297" i="15"/>
  <c r="M298" i="15"/>
  <c r="M299" i="15"/>
  <c r="M300" i="15"/>
  <c r="M301" i="15"/>
  <c r="M302" i="15"/>
  <c r="M303" i="15"/>
  <c r="M304" i="15"/>
  <c r="M305" i="15"/>
  <c r="M306" i="15"/>
  <c r="M307" i="15"/>
  <c r="M308" i="15"/>
  <c r="M310" i="15"/>
  <c r="M311" i="15"/>
  <c r="M312" i="15"/>
  <c r="M313" i="15"/>
  <c r="M314" i="15"/>
  <c r="M315" i="15"/>
  <c r="M316" i="15"/>
  <c r="M317" i="15"/>
  <c r="M318" i="15"/>
  <c r="M319" i="15"/>
  <c r="M320" i="15"/>
  <c r="M321" i="15"/>
  <c r="M322" i="15"/>
  <c r="M323" i="15"/>
  <c r="M324" i="15"/>
  <c r="M325" i="15"/>
  <c r="M326" i="15"/>
  <c r="M327"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20" i="15"/>
  <c r="M421" i="15"/>
  <c r="M422" i="15"/>
  <c r="M423" i="15"/>
  <c r="M424" i="15"/>
  <c r="M425" i="15"/>
  <c r="M426" i="15"/>
  <c r="M427" i="15"/>
  <c r="M429" i="15"/>
  <c r="M430" i="15"/>
  <c r="M431" i="15"/>
  <c r="M432" i="15"/>
  <c r="M433" i="15"/>
  <c r="M434" i="15"/>
  <c r="M435" i="15"/>
  <c r="M436" i="15"/>
  <c r="M437" i="15"/>
  <c r="M438" i="15"/>
  <c r="M439" i="15"/>
  <c r="M440" i="15"/>
  <c r="M441" i="15"/>
  <c r="M444" i="15"/>
  <c r="M445" i="15"/>
  <c r="M446" i="15"/>
  <c r="M447" i="15"/>
  <c r="M448" i="15"/>
  <c r="M449" i="15"/>
  <c r="M450" i="15"/>
  <c r="M451" i="15"/>
  <c r="M452" i="15"/>
  <c r="M453" i="15"/>
  <c r="M454" i="15"/>
  <c r="M455"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6" i="15"/>
  <c r="M18" i="15"/>
  <c r="M17" i="15"/>
  <c r="M16" i="15"/>
  <c r="M15" i="15"/>
  <c r="M14" i="15"/>
  <c r="P201" i="15"/>
  <c r="P200" i="15"/>
  <c r="I201" i="15"/>
  <c r="J201" i="15" s="1"/>
  <c r="K201" i="15" s="1"/>
  <c r="I200" i="15"/>
  <c r="J200" i="15" s="1"/>
  <c r="K200" i="15" s="1"/>
  <c r="P135" i="15"/>
  <c r="I135" i="15"/>
  <c r="J135" i="15" s="1"/>
  <c r="K135" i="15" s="1"/>
  <c r="P249" i="15"/>
  <c r="I249" i="15"/>
  <c r="J249" i="15" s="1"/>
  <c r="K249" i="15" s="1"/>
  <c r="N258" i="15" l="1"/>
  <c r="O258" i="15" s="1"/>
  <c r="N254" i="15"/>
  <c r="O254" i="15" s="1"/>
  <c r="N232" i="15"/>
  <c r="O232" i="15" s="1"/>
  <c r="N252" i="15"/>
  <c r="O252" i="15" s="1"/>
  <c r="N428" i="15"/>
  <c r="O428" i="15" s="1"/>
  <c r="N88" i="15"/>
  <c r="O88" i="15" s="1"/>
  <c r="N84" i="15"/>
  <c r="O84" i="15" s="1"/>
  <c r="N46" i="15"/>
  <c r="O46" i="15" s="1"/>
  <c r="N85" i="15"/>
  <c r="O85" i="15" s="1"/>
  <c r="N151" i="15"/>
  <c r="O151" i="15" s="1"/>
  <c r="N111" i="15"/>
  <c r="O111" i="15" s="1"/>
  <c r="N484" i="15"/>
  <c r="O484" i="15" s="1"/>
  <c r="N309" i="15"/>
  <c r="O309" i="15" s="1"/>
  <c r="N64" i="15"/>
  <c r="O64" i="15" s="1"/>
  <c r="N482" i="15"/>
  <c r="O482" i="15" s="1"/>
  <c r="N292" i="15"/>
  <c r="O292" i="15" s="1"/>
  <c r="N259" i="15"/>
  <c r="O259" i="15" s="1"/>
  <c r="N86" i="15"/>
  <c r="O86" i="15" s="1"/>
  <c r="N358" i="15"/>
  <c r="O358" i="15" s="1"/>
  <c r="N212" i="15"/>
  <c r="O212" i="15" s="1"/>
  <c r="N129" i="15"/>
  <c r="O129" i="15" s="1"/>
  <c r="N485" i="15"/>
  <c r="O485" i="15" s="1"/>
  <c r="N328" i="15"/>
  <c r="O328" i="15" s="1"/>
  <c r="N112" i="15"/>
  <c r="O112" i="15" s="1"/>
  <c r="N253" i="15"/>
  <c r="O253" i="15" s="1"/>
  <c r="N251" i="15"/>
  <c r="O251" i="15" s="1"/>
  <c r="N50" i="15"/>
  <c r="O50" i="15" s="1"/>
  <c r="N291" i="15"/>
  <c r="O291" i="15" s="1"/>
  <c r="N458" i="15"/>
  <c r="O458" i="15" s="1"/>
  <c r="N443" i="15"/>
  <c r="O443" i="15" s="1"/>
  <c r="N153" i="15"/>
  <c r="O153" i="15" s="1"/>
  <c r="N456" i="15"/>
  <c r="O456" i="15" s="1"/>
  <c r="N457" i="15"/>
  <c r="O457" i="15" s="1"/>
  <c r="N419" i="15"/>
  <c r="O419" i="15" s="1"/>
  <c r="N87" i="15"/>
  <c r="O87" i="15" s="1"/>
  <c r="N483" i="15"/>
  <c r="O483" i="15" s="1"/>
  <c r="N231" i="15"/>
  <c r="O231" i="15" s="1"/>
  <c r="N152" i="15"/>
  <c r="O152" i="15" s="1"/>
  <c r="J20" i="2"/>
  <c r="H20" i="2" s="1"/>
  <c r="G21" i="2"/>
  <c r="N13" i="15"/>
  <c r="O13" i="15" s="1"/>
  <c r="N201" i="15"/>
  <c r="O201" i="15" s="1"/>
  <c r="N200" i="15"/>
  <c r="O200" i="15" s="1"/>
  <c r="N135" i="15"/>
  <c r="O135" i="15" s="1"/>
  <c r="N249" i="15"/>
  <c r="O249" i="15" s="1"/>
  <c r="C1" i="17"/>
  <c r="P243" i="15" l="1"/>
  <c r="P256" i="15"/>
  <c r="P255" i="15"/>
  <c r="I256" i="15"/>
  <c r="J256" i="15" s="1"/>
  <c r="K256" i="15" s="1"/>
  <c r="I243" i="15"/>
  <c r="J243" i="15" s="1"/>
  <c r="K243" i="15" s="1"/>
  <c r="I255" i="15"/>
  <c r="J255" i="15" s="1"/>
  <c r="K255" i="15" s="1"/>
  <c r="N243" i="15" l="1"/>
  <c r="O243" i="15" s="1"/>
  <c r="N256" i="15"/>
  <c r="O256" i="15" s="1"/>
  <c r="N255" i="15"/>
  <c r="O255" i="15" s="1"/>
  <c r="P365" i="15"/>
  <c r="P398" i="15"/>
  <c r="P349" i="15"/>
  <c r="P348" i="15"/>
  <c r="P226" i="15"/>
  <c r="P168" i="15"/>
  <c r="P156" i="15"/>
  <c r="P150" i="15"/>
  <c r="P131" i="15"/>
  <c r="P128" i="15"/>
  <c r="P96" i="15"/>
  <c r="P56" i="15"/>
  <c r="I96" i="15"/>
  <c r="J96" i="15" s="1"/>
  <c r="K96" i="15" s="1"/>
  <c r="I128" i="15"/>
  <c r="J128" i="15" s="1"/>
  <c r="K128" i="15" s="1"/>
  <c r="I131" i="15"/>
  <c r="J131" i="15" s="1"/>
  <c r="K131" i="15" s="1"/>
  <c r="I150" i="15"/>
  <c r="J150" i="15" s="1"/>
  <c r="K150" i="15" s="1"/>
  <c r="I156" i="15"/>
  <c r="J156" i="15" s="1"/>
  <c r="K156" i="15" s="1"/>
  <c r="I168" i="15"/>
  <c r="J168" i="15" s="1"/>
  <c r="I226" i="15"/>
  <c r="J226" i="15" s="1"/>
  <c r="I348" i="15"/>
  <c r="J348" i="15" s="1"/>
  <c r="I349" i="15"/>
  <c r="J349" i="15" s="1"/>
  <c r="I398" i="15"/>
  <c r="J398" i="15" s="1"/>
  <c r="I365" i="15"/>
  <c r="J365" i="15" s="1"/>
  <c r="I56" i="15"/>
  <c r="J56" i="15" s="1"/>
  <c r="K349" i="15" l="1"/>
  <c r="N349" i="15" s="1"/>
  <c r="O349" i="15" s="1"/>
  <c r="K348" i="15"/>
  <c r="N348" i="15" s="1"/>
  <c r="O348" i="15" s="1"/>
  <c r="K365" i="15"/>
  <c r="N365" i="15" s="1"/>
  <c r="O365" i="15" s="1"/>
  <c r="K226" i="15"/>
  <c r="N226" i="15" s="1"/>
  <c r="O226" i="15" s="1"/>
  <c r="K56" i="15"/>
  <c r="N56" i="15" s="1"/>
  <c r="O56" i="15" s="1"/>
  <c r="K398" i="15"/>
  <c r="N398" i="15" s="1"/>
  <c r="O398" i="15" s="1"/>
  <c r="K168" i="15"/>
  <c r="N168" i="15" s="1"/>
  <c r="O168" i="15" s="1"/>
  <c r="N156" i="15"/>
  <c r="O156" i="15" s="1"/>
  <c r="N128" i="15"/>
  <c r="O128" i="15" s="1"/>
  <c r="N96" i="15"/>
  <c r="O96" i="15" s="1"/>
  <c r="N150" i="15"/>
  <c r="O150" i="15" s="1"/>
  <c r="N131" i="15"/>
  <c r="O131" i="15" s="1"/>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7" i="15"/>
  <c r="P49" i="15"/>
  <c r="P51" i="15"/>
  <c r="P52" i="15"/>
  <c r="P53" i="15"/>
  <c r="P54" i="15"/>
  <c r="P55" i="15"/>
  <c r="P57" i="15"/>
  <c r="P58" i="15"/>
  <c r="P59" i="15"/>
  <c r="P60" i="15"/>
  <c r="P61" i="15"/>
  <c r="P62" i="15"/>
  <c r="P63" i="15"/>
  <c r="P65" i="15"/>
  <c r="P66" i="15"/>
  <c r="P67" i="15"/>
  <c r="P68" i="15"/>
  <c r="P69" i="15"/>
  <c r="P70" i="15"/>
  <c r="P71" i="15"/>
  <c r="P72" i="15"/>
  <c r="P73" i="15"/>
  <c r="P74" i="15"/>
  <c r="P75" i="15"/>
  <c r="P76" i="15"/>
  <c r="P77" i="15"/>
  <c r="P89" i="15"/>
  <c r="P90" i="15"/>
  <c r="P91" i="15"/>
  <c r="P92" i="15"/>
  <c r="P93" i="15"/>
  <c r="P78" i="15"/>
  <c r="P79" i="15"/>
  <c r="P80" i="15"/>
  <c r="P81" i="15"/>
  <c r="P82" i="15"/>
  <c r="P83" i="15"/>
  <c r="P97" i="15"/>
  <c r="P98" i="15"/>
  <c r="P99" i="15"/>
  <c r="P100" i="15"/>
  <c r="P101" i="15"/>
  <c r="P102" i="15"/>
  <c r="P103" i="15"/>
  <c r="P104" i="15"/>
  <c r="P105" i="15"/>
  <c r="P106" i="15"/>
  <c r="P107" i="15"/>
  <c r="P108" i="15"/>
  <c r="P109" i="15"/>
  <c r="P110" i="15"/>
  <c r="P113" i="15"/>
  <c r="P114" i="15"/>
  <c r="P115" i="15"/>
  <c r="P116" i="15"/>
  <c r="P117" i="15"/>
  <c r="P118" i="15"/>
  <c r="P119" i="15"/>
  <c r="P120" i="15"/>
  <c r="P121" i="15"/>
  <c r="P122" i="15"/>
  <c r="P123" i="15"/>
  <c r="P124" i="15"/>
  <c r="P125" i="15"/>
  <c r="P126" i="15"/>
  <c r="P127" i="15"/>
  <c r="P130" i="15"/>
  <c r="P132" i="15"/>
  <c r="P133" i="15"/>
  <c r="P134" i="15"/>
  <c r="P137" i="15"/>
  <c r="P138" i="15"/>
  <c r="P139" i="15"/>
  <c r="P140" i="15"/>
  <c r="P141" i="15"/>
  <c r="P142" i="15"/>
  <c r="P143" i="15"/>
  <c r="P144" i="15"/>
  <c r="P145" i="15"/>
  <c r="P146" i="15"/>
  <c r="P147" i="15"/>
  <c r="P148" i="15"/>
  <c r="P149" i="15"/>
  <c r="P136" i="15"/>
  <c r="P154" i="15"/>
  <c r="P155" i="15"/>
  <c r="P157" i="15"/>
  <c r="P158" i="15"/>
  <c r="P159" i="15"/>
  <c r="P160" i="15"/>
  <c r="P161" i="15"/>
  <c r="P162" i="15"/>
  <c r="P163" i="15"/>
  <c r="P164" i="15"/>
  <c r="P165" i="15"/>
  <c r="P166" i="15"/>
  <c r="P167" i="15"/>
  <c r="P169" i="15"/>
  <c r="P170" i="15"/>
  <c r="P171" i="15"/>
  <c r="P172" i="15"/>
  <c r="P173" i="15"/>
  <c r="P174" i="15"/>
  <c r="P175" i="15"/>
  <c r="P176" i="15"/>
  <c r="P177" i="15"/>
  <c r="P178" i="15"/>
  <c r="P179" i="15"/>
  <c r="P180" i="15"/>
  <c r="P181" i="15"/>
  <c r="P182" i="15"/>
  <c r="P183" i="15"/>
  <c r="P184" i="15"/>
  <c r="P185" i="15"/>
  <c r="P186" i="15"/>
  <c r="P187" i="15"/>
  <c r="P188" i="15"/>
  <c r="P189" i="15"/>
  <c r="P190" i="15"/>
  <c r="P191" i="15"/>
  <c r="P192" i="15"/>
  <c r="P193" i="15"/>
  <c r="P194" i="15"/>
  <c r="P195" i="15"/>
  <c r="P196" i="15"/>
  <c r="P197" i="15"/>
  <c r="P198" i="15"/>
  <c r="P199" i="15"/>
  <c r="P202" i="15"/>
  <c r="P203" i="15"/>
  <c r="P204" i="15"/>
  <c r="P205" i="15"/>
  <c r="P206" i="15"/>
  <c r="P207" i="15"/>
  <c r="P208" i="15"/>
  <c r="P209" i="15"/>
  <c r="P210" i="15"/>
  <c r="P219" i="15"/>
  <c r="P220" i="15"/>
  <c r="P221" i="15"/>
  <c r="P222" i="15"/>
  <c r="P211" i="15"/>
  <c r="P223" i="15"/>
  <c r="P224" i="15"/>
  <c r="P225" i="15"/>
  <c r="P213" i="15"/>
  <c r="P214" i="15"/>
  <c r="P215" i="15"/>
  <c r="P216" i="15"/>
  <c r="P217" i="15"/>
  <c r="P218" i="15"/>
  <c r="P227" i="15"/>
  <c r="P228" i="15"/>
  <c r="P230" i="15"/>
  <c r="P233" i="15"/>
  <c r="P234" i="15"/>
  <c r="P235" i="15"/>
  <c r="P236" i="15"/>
  <c r="P237" i="15"/>
  <c r="P238" i="15"/>
  <c r="P239" i="15"/>
  <c r="P240" i="15"/>
  <c r="P241" i="15"/>
  <c r="P242" i="15"/>
  <c r="P244" i="15"/>
  <c r="P245" i="15"/>
  <c r="P246" i="15"/>
  <c r="P247" i="15"/>
  <c r="P248" i="15"/>
  <c r="P250" i="15"/>
  <c r="P257" i="15"/>
  <c r="P260" i="15"/>
  <c r="P261" i="15"/>
  <c r="P262" i="15"/>
  <c r="P263" i="15"/>
  <c r="P264" i="15"/>
  <c r="P265" i="15"/>
  <c r="P266" i="15"/>
  <c r="P267" i="15"/>
  <c r="P268" i="15"/>
  <c r="P269" i="15"/>
  <c r="P271" i="15"/>
  <c r="P272" i="15"/>
  <c r="P273" i="15"/>
  <c r="P274" i="15"/>
  <c r="P275" i="15"/>
  <c r="P276" i="15"/>
  <c r="P277" i="15"/>
  <c r="P278" i="15"/>
  <c r="P279" i="15"/>
  <c r="P280" i="15"/>
  <c r="P281" i="15"/>
  <c r="P282" i="15"/>
  <c r="P283" i="15"/>
  <c r="P284" i="15"/>
  <c r="P285" i="15"/>
  <c r="P286" i="15"/>
  <c r="P287" i="15"/>
  <c r="P288" i="15"/>
  <c r="P293" i="15"/>
  <c r="P294" i="15"/>
  <c r="P295" i="15"/>
  <c r="P296" i="15"/>
  <c r="P297" i="15"/>
  <c r="P298" i="15"/>
  <c r="P299" i="15"/>
  <c r="P300" i="15"/>
  <c r="P301" i="15"/>
  <c r="P302" i="15"/>
  <c r="P303" i="15"/>
  <c r="P304" i="15"/>
  <c r="P305" i="15"/>
  <c r="P306" i="15"/>
  <c r="P307" i="15"/>
  <c r="P308" i="15"/>
  <c r="P310" i="15"/>
  <c r="P311" i="15"/>
  <c r="P312" i="15"/>
  <c r="P313" i="15"/>
  <c r="P314" i="15"/>
  <c r="P315" i="15"/>
  <c r="P316" i="15"/>
  <c r="P317" i="15"/>
  <c r="P318" i="15"/>
  <c r="P319" i="15"/>
  <c r="P320" i="15"/>
  <c r="P321" i="15"/>
  <c r="P322" i="15"/>
  <c r="P323" i="15"/>
  <c r="P324" i="15"/>
  <c r="P325" i="15"/>
  <c r="P326" i="15"/>
  <c r="P327" i="15"/>
  <c r="P329" i="15"/>
  <c r="P330" i="15"/>
  <c r="P331" i="15"/>
  <c r="P332" i="15"/>
  <c r="P333" i="15"/>
  <c r="P334" i="15"/>
  <c r="P335" i="15"/>
  <c r="P336" i="15"/>
  <c r="P337" i="15"/>
  <c r="P338" i="15"/>
  <c r="P339" i="15"/>
  <c r="P340" i="15"/>
  <c r="P341" i="15"/>
  <c r="P342" i="15"/>
  <c r="P343" i="15"/>
  <c r="P344" i="15"/>
  <c r="P345" i="15"/>
  <c r="P346" i="15"/>
  <c r="P347" i="15"/>
  <c r="P350" i="15"/>
  <c r="P351" i="15"/>
  <c r="P352" i="15"/>
  <c r="P353" i="15"/>
  <c r="P354" i="15"/>
  <c r="P355" i="15"/>
  <c r="P356" i="15"/>
  <c r="P357" i="15"/>
  <c r="P359" i="15"/>
  <c r="P360" i="15"/>
  <c r="P361" i="15"/>
  <c r="P362" i="15"/>
  <c r="P363" i="15"/>
  <c r="P364" i="15"/>
  <c r="P366" i="15"/>
  <c r="P367" i="15"/>
  <c r="P368" i="15"/>
  <c r="P369" i="15"/>
  <c r="P370" i="15"/>
  <c r="P371" i="15"/>
  <c r="P372" i="15"/>
  <c r="P373" i="15"/>
  <c r="P374" i="15"/>
  <c r="P375" i="15"/>
  <c r="P376" i="15"/>
  <c r="P377" i="15"/>
  <c r="P378" i="15"/>
  <c r="P379" i="15"/>
  <c r="P380" i="15"/>
  <c r="P381" i="15"/>
  <c r="P382" i="15"/>
  <c r="P383" i="15"/>
  <c r="P384" i="15"/>
  <c r="P385" i="15"/>
  <c r="P386" i="15"/>
  <c r="P387" i="15"/>
  <c r="P388" i="15"/>
  <c r="P389" i="15"/>
  <c r="P390" i="15"/>
  <c r="P391" i="15"/>
  <c r="P392" i="15"/>
  <c r="P393" i="15"/>
  <c r="P394" i="15"/>
  <c r="P395" i="15"/>
  <c r="P396" i="15"/>
  <c r="P397" i="15"/>
  <c r="P399" i="15"/>
  <c r="P400" i="15"/>
  <c r="P401" i="15"/>
  <c r="P402" i="15"/>
  <c r="P403" i="15"/>
  <c r="P404" i="15"/>
  <c r="P405" i="15"/>
  <c r="P406" i="15"/>
  <c r="P407" i="15"/>
  <c r="P408" i="15"/>
  <c r="P409" i="15"/>
  <c r="P410" i="15"/>
  <c r="P411" i="15"/>
  <c r="P412" i="15"/>
  <c r="P413" i="15"/>
  <c r="P414" i="15"/>
  <c r="P415" i="15"/>
  <c r="P416" i="15"/>
  <c r="P417" i="15"/>
  <c r="P418" i="15"/>
  <c r="P420" i="15"/>
  <c r="P421" i="15"/>
  <c r="P422" i="15"/>
  <c r="P423" i="15"/>
  <c r="P424" i="15"/>
  <c r="P425" i="15"/>
  <c r="P426" i="15"/>
  <c r="P427" i="15"/>
  <c r="P429" i="15"/>
  <c r="P430" i="15"/>
  <c r="P431" i="15"/>
  <c r="P432" i="15"/>
  <c r="P433" i="15"/>
  <c r="P434" i="15"/>
  <c r="P435" i="15"/>
  <c r="P436" i="15"/>
  <c r="P437" i="15"/>
  <c r="P438" i="15"/>
  <c r="P439" i="15"/>
  <c r="P440" i="15"/>
  <c r="P441" i="15"/>
  <c r="P444" i="15"/>
  <c r="P445" i="15"/>
  <c r="P446" i="15"/>
  <c r="P447" i="15"/>
  <c r="P448" i="15"/>
  <c r="P449" i="15"/>
  <c r="P450" i="15"/>
  <c r="P451" i="15"/>
  <c r="P452" i="15"/>
  <c r="P453" i="15"/>
  <c r="P454" i="15"/>
  <c r="P455" i="15"/>
  <c r="P459" i="15"/>
  <c r="P460" i="15"/>
  <c r="P461" i="15"/>
  <c r="P462" i="15"/>
  <c r="P463" i="15"/>
  <c r="P464" i="15"/>
  <c r="P465" i="15"/>
  <c r="P466" i="15"/>
  <c r="P467" i="15"/>
  <c r="P468" i="15"/>
  <c r="P469" i="15"/>
  <c r="P470" i="15"/>
  <c r="P471" i="15"/>
  <c r="P472" i="15"/>
  <c r="P473" i="15"/>
  <c r="P474" i="15"/>
  <c r="P475" i="15"/>
  <c r="P476" i="15"/>
  <c r="P477" i="15"/>
  <c r="P478" i="15"/>
  <c r="P479" i="15"/>
  <c r="P480" i="15"/>
  <c r="P481" i="15"/>
  <c r="P486" i="15"/>
  <c r="I445" i="15" l="1"/>
  <c r="J445" i="15" s="1"/>
  <c r="K445" i="15" s="1"/>
  <c r="I444" i="15"/>
  <c r="J444" i="15" s="1"/>
  <c r="K444" i="15" s="1"/>
  <c r="N444" i="15" l="1"/>
  <c r="O444" i="15" s="1"/>
  <c r="N445" i="15"/>
  <c r="O445" i="15" s="1"/>
  <c r="I210" i="15"/>
  <c r="J210" i="15" s="1"/>
  <c r="K210" i="15" s="1"/>
  <c r="I209" i="15"/>
  <c r="J209" i="15" s="1"/>
  <c r="K209" i="15" s="1"/>
  <c r="I281" i="15"/>
  <c r="J281" i="15" s="1"/>
  <c r="K281" i="15" s="1"/>
  <c r="I422" i="15"/>
  <c r="J422" i="15" s="1"/>
  <c r="K422" i="15" s="1"/>
  <c r="I301" i="15"/>
  <c r="J301" i="15" s="1"/>
  <c r="K301" i="15" s="1"/>
  <c r="I426" i="15"/>
  <c r="J426" i="15" s="1"/>
  <c r="K426" i="15" s="1"/>
  <c r="I440" i="15"/>
  <c r="J440" i="15" s="1"/>
  <c r="K440" i="15" s="1"/>
  <c r="I421" i="15"/>
  <c r="J421" i="15" s="1"/>
  <c r="K421" i="15" s="1"/>
  <c r="I480" i="15"/>
  <c r="J480" i="15" s="1"/>
  <c r="K480" i="15" s="1"/>
  <c r="I123" i="15"/>
  <c r="J123" i="15" s="1"/>
  <c r="K123" i="15" s="1"/>
  <c r="I58" i="15"/>
  <c r="J58" i="15" s="1"/>
  <c r="K58" i="15" s="1"/>
  <c r="I19" i="15"/>
  <c r="J19" i="15" s="1"/>
  <c r="K19" i="15" s="1"/>
  <c r="I427" i="15"/>
  <c r="J427" i="15" s="1"/>
  <c r="K427" i="15" s="1"/>
  <c r="I412" i="15"/>
  <c r="J412" i="15" s="1"/>
  <c r="K412" i="15" s="1"/>
  <c r="I49" i="15"/>
  <c r="J49" i="15" s="1"/>
  <c r="K49" i="15" s="1"/>
  <c r="I437" i="15"/>
  <c r="J437" i="15" s="1"/>
  <c r="K437" i="15" s="1"/>
  <c r="N209" i="15" l="1"/>
  <c r="O209" i="15" s="1"/>
  <c r="N210" i="15"/>
  <c r="O210" i="15" s="1"/>
  <c r="N281" i="15"/>
  <c r="O281" i="15" s="1"/>
  <c r="N480" i="15"/>
  <c r="O480" i="15" s="1"/>
  <c r="N49" i="15"/>
  <c r="O49" i="15" s="1"/>
  <c r="N412" i="15"/>
  <c r="O412" i="15" s="1"/>
  <c r="N427" i="15"/>
  <c r="O427" i="15" s="1"/>
  <c r="N19" i="15"/>
  <c r="O19" i="15" s="1"/>
  <c r="N58" i="15"/>
  <c r="O58" i="15" s="1"/>
  <c r="N123" i="15"/>
  <c r="O123" i="15" s="1"/>
  <c r="N422" i="15"/>
  <c r="O422" i="15" s="1"/>
  <c r="N421" i="15"/>
  <c r="O421" i="15" s="1"/>
  <c r="N440" i="15"/>
  <c r="O440" i="15" s="1"/>
  <c r="N426" i="15"/>
  <c r="O426" i="15" s="1"/>
  <c r="N301" i="15"/>
  <c r="O301" i="15" s="1"/>
  <c r="N437" i="15"/>
  <c r="O437" i="15" s="1"/>
  <c r="P509" i="15"/>
  <c r="P508" i="15"/>
  <c r="P507" i="15"/>
  <c r="P506" i="15"/>
  <c r="P505" i="15"/>
  <c r="P504" i="15"/>
  <c r="P503" i="15"/>
  <c r="P502" i="15"/>
  <c r="P501" i="15"/>
  <c r="P500" i="15"/>
  <c r="P499" i="15"/>
  <c r="P498" i="15"/>
  <c r="P497" i="15"/>
  <c r="P496" i="15"/>
  <c r="P495" i="15"/>
  <c r="P494" i="15"/>
  <c r="P493" i="15"/>
  <c r="P492" i="15"/>
  <c r="P491" i="15"/>
  <c r="P490" i="15"/>
  <c r="P489" i="15"/>
  <c r="P488" i="15"/>
  <c r="P487" i="15"/>
  <c r="A47" i="16" l="1"/>
  <c r="A77" i="16"/>
  <c r="B79" i="16"/>
  <c r="B78" i="16"/>
  <c r="B77" i="16"/>
  <c r="A76" i="16"/>
  <c r="B76" i="16"/>
  <c r="A78" i="16"/>
  <c r="A98" i="16"/>
  <c r="A97" i="16"/>
  <c r="A96" i="16"/>
  <c r="J20" i="16"/>
  <c r="D20" i="11"/>
  <c r="J19" i="16"/>
  <c r="J18" i="16"/>
  <c r="G18" i="16"/>
  <c r="G19" i="16"/>
  <c r="P16" i="15"/>
  <c r="P17" i="15"/>
  <c r="P12" i="15"/>
  <c r="P18" i="15"/>
  <c r="P13" i="15"/>
  <c r="P14" i="15"/>
  <c r="P15" i="15"/>
  <c r="F9" i="12"/>
  <c r="O87" i="16"/>
  <c r="O100" i="16"/>
  <c r="D11" i="10"/>
  <c r="D12" i="10"/>
  <c r="F12" i="10" s="1"/>
  <c r="D13" i="10"/>
  <c r="F13" i="10" s="1"/>
  <c r="D14" i="10"/>
  <c r="F14" i="10" s="1"/>
  <c r="D15" i="10"/>
  <c r="F15" i="10" s="1"/>
  <c r="D16" i="10"/>
  <c r="F16" i="10" s="1"/>
  <c r="D17" i="10"/>
  <c r="F17" i="10" s="1"/>
  <c r="D18" i="10"/>
  <c r="F18" i="10" s="1"/>
  <c r="D19" i="10"/>
  <c r="F19" i="10" s="1"/>
  <c r="D10" i="10"/>
  <c r="D9" i="10"/>
  <c r="M96" i="16" s="1"/>
  <c r="D11" i="8"/>
  <c r="D12" i="8"/>
  <c r="O62" i="16" s="1"/>
  <c r="D13" i="8"/>
  <c r="D14" i="8"/>
  <c r="D15" i="8"/>
  <c r="D16" i="8"/>
  <c r="O67" i="16" s="1"/>
  <c r="D17" i="8"/>
  <c r="O68" i="16" s="1"/>
  <c r="D18" i="8"/>
  <c r="O70" i="16" s="1"/>
  <c r="D19" i="8"/>
  <c r="D20" i="8"/>
  <c r="O73" i="16" s="1"/>
  <c r="D21" i="8"/>
  <c r="O75" i="16" s="1"/>
  <c r="D22" i="8"/>
  <c r="O76" i="16" s="1"/>
  <c r="D23" i="8"/>
  <c r="D24" i="8"/>
  <c r="D25" i="8"/>
  <c r="D26" i="8"/>
  <c r="D27" i="8"/>
  <c r="D28" i="8"/>
  <c r="F28" i="8" s="1"/>
  <c r="D29" i="8"/>
  <c r="F29" i="8" s="1"/>
  <c r="D30" i="8"/>
  <c r="F30" i="8" s="1"/>
  <c r="D31" i="8"/>
  <c r="F31" i="8" s="1"/>
  <c r="D32" i="8"/>
  <c r="F32" i="8" s="1"/>
  <c r="D33" i="8"/>
  <c r="F33" i="8" s="1"/>
  <c r="D34" i="8"/>
  <c r="F34" i="8" s="1"/>
  <c r="D35" i="8"/>
  <c r="F35" i="8" s="1"/>
  <c r="D36" i="8"/>
  <c r="F36" i="8" s="1"/>
  <c r="D37" i="8"/>
  <c r="F37" i="8" s="1"/>
  <c r="D38" i="8"/>
  <c r="F38" i="8" s="1"/>
  <c r="D10" i="8"/>
  <c r="D9" i="8"/>
  <c r="M61" i="16"/>
  <c r="M64" i="16"/>
  <c r="M66" i="16"/>
  <c r="M68" i="16"/>
  <c r="M73" i="16"/>
  <c r="M75" i="16"/>
  <c r="M76" i="16"/>
  <c r="M78" i="16"/>
  <c r="M80" i="16"/>
  <c r="M82" i="16"/>
  <c r="M84" i="16"/>
  <c r="M86" i="16"/>
  <c r="M88" i="16"/>
  <c r="M91" i="16"/>
  <c r="M93" i="16"/>
  <c r="M56" i="16"/>
  <c r="M52" i="16"/>
  <c r="M54" i="16"/>
  <c r="O95" i="16" l="1"/>
  <c r="O91" i="16"/>
  <c r="F21" i="8"/>
  <c r="M53" i="16"/>
  <c r="M55" i="16"/>
  <c r="O56" i="16"/>
  <c r="F9" i="8"/>
  <c r="O59" i="16"/>
  <c r="F24" i="8"/>
  <c r="O78" i="16"/>
  <c r="F16" i="8"/>
  <c r="F9" i="9"/>
  <c r="O85" i="16"/>
  <c r="M50" i="16"/>
  <c r="M92" i="16"/>
  <c r="M72" i="16"/>
  <c r="M67" i="16"/>
  <c r="M63" i="16"/>
  <c r="O49" i="16"/>
  <c r="F10" i="8"/>
  <c r="O60" i="16"/>
  <c r="F27" i="8"/>
  <c r="O82" i="16"/>
  <c r="F23" i="8"/>
  <c r="O77" i="16"/>
  <c r="F19" i="8"/>
  <c r="O72" i="16"/>
  <c r="F15" i="8"/>
  <c r="O66" i="16"/>
  <c r="F11" i="8"/>
  <c r="O61" i="16"/>
  <c r="F20" i="8"/>
  <c r="O86" i="16"/>
  <c r="O90" i="16"/>
  <c r="M57" i="16"/>
  <c r="O53" i="16"/>
  <c r="F26" i="8"/>
  <c r="O80" i="16"/>
  <c r="F14" i="8"/>
  <c r="O65" i="16"/>
  <c r="F18" i="8"/>
  <c r="M47" i="16"/>
  <c r="M90" i="16"/>
  <c r="M74" i="16"/>
  <c r="M69" i="16"/>
  <c r="M65" i="16"/>
  <c r="M59" i="16"/>
  <c r="O50" i="16"/>
  <c r="F25" i="8"/>
  <c r="O79" i="16"/>
  <c r="F13" i="8"/>
  <c r="O64" i="16"/>
  <c r="F22" i="8"/>
  <c r="F17" i="8"/>
  <c r="O97" i="16"/>
  <c r="O93" i="16"/>
  <c r="F11" i="10"/>
  <c r="M98" i="16"/>
  <c r="F9" i="10"/>
  <c r="F10" i="10"/>
  <c r="M97" i="16"/>
  <c r="O55" i="16"/>
  <c r="O52" i="16"/>
  <c r="O48" i="16"/>
  <c r="M94" i="16"/>
  <c r="M89" i="16"/>
  <c r="M87" i="16"/>
  <c r="M85" i="16"/>
  <c r="M83" i="16"/>
  <c r="M81" i="16"/>
  <c r="M79" i="16"/>
  <c r="M77" i="16"/>
  <c r="M70" i="16"/>
  <c r="M58" i="16"/>
  <c r="K10" i="1"/>
  <c r="M49" i="16"/>
  <c r="F8" i="12"/>
  <c r="G9" i="8"/>
  <c r="G14" i="8"/>
  <c r="R9" i="15"/>
  <c r="D74" i="12"/>
  <c r="H13" i="9"/>
  <c r="G10" i="10"/>
  <c r="G24" i="8"/>
  <c r="F12" i="8"/>
  <c r="E27" i="11"/>
  <c r="E22" i="11"/>
  <c r="E21" i="11"/>
  <c r="G7" i="11"/>
  <c r="G11" i="11"/>
  <c r="G13" i="11"/>
  <c r="G10" i="11"/>
  <c r="G8" i="11"/>
  <c r="G5" i="11"/>
  <c r="B28" i="11" l="1"/>
  <c r="B24" i="11"/>
  <c r="H43" i="1"/>
  <c r="H39" i="1"/>
  <c r="H33" i="1"/>
  <c r="H32" i="1"/>
  <c r="H36" i="1"/>
  <c r="H28" i="1"/>
  <c r="H22" i="1"/>
  <c r="H19" i="1"/>
  <c r="H15" i="1"/>
  <c r="H13" i="1"/>
  <c r="I39" i="1" l="1"/>
  <c r="I40" i="1"/>
  <c r="I37" i="1"/>
  <c r="I36" i="1"/>
  <c r="I34" i="1"/>
  <c r="I33" i="1"/>
  <c r="I19" i="1"/>
  <c r="I20" i="1"/>
  <c r="I14" i="1"/>
  <c r="I13" i="1"/>
  <c r="I15" i="1"/>
  <c r="I16" i="1"/>
  <c r="H24" i="8" l="1"/>
  <c r="H14" i="8"/>
  <c r="H9" i="8"/>
  <c r="I25" i="8" l="1"/>
  <c r="I24" i="8"/>
  <c r="I14" i="8"/>
  <c r="I15" i="8"/>
  <c r="I11" i="8"/>
  <c r="I10" i="8"/>
  <c r="I9" i="8"/>
  <c r="I12" i="8"/>
  <c r="I402" i="15"/>
  <c r="J402" i="15" s="1"/>
  <c r="K402" i="15" s="1"/>
  <c r="I406" i="15"/>
  <c r="J406" i="15" s="1"/>
  <c r="K406" i="15" s="1"/>
  <c r="I400" i="15"/>
  <c r="J400" i="15" s="1"/>
  <c r="K400" i="15" s="1"/>
  <c r="I395" i="15"/>
  <c r="J395" i="15" s="1"/>
  <c r="K395" i="15" s="1"/>
  <c r="N395" i="15" l="1"/>
  <c r="O395" i="15" s="1"/>
  <c r="N406" i="15"/>
  <c r="O406" i="15" s="1"/>
  <c r="N400" i="15"/>
  <c r="O400" i="15" s="1"/>
  <c r="N402" i="15"/>
  <c r="O402" i="15" s="1"/>
  <c r="I486" i="15"/>
  <c r="J486" i="15" s="1"/>
  <c r="K486" i="15" s="1"/>
  <c r="I448" i="15"/>
  <c r="J448" i="15" s="1"/>
  <c r="K448" i="15" s="1"/>
  <c r="I449" i="15"/>
  <c r="J449" i="15" s="1"/>
  <c r="K449" i="15" s="1"/>
  <c r="I450" i="15"/>
  <c r="J450" i="15" s="1"/>
  <c r="K450" i="15" s="1"/>
  <c r="I346" i="15"/>
  <c r="J346" i="15" s="1"/>
  <c r="K346" i="15" s="1"/>
  <c r="I306" i="15"/>
  <c r="J306" i="15" s="1"/>
  <c r="K306" i="15" s="1"/>
  <c r="I265" i="15"/>
  <c r="J265" i="15" s="1"/>
  <c r="K265" i="15" s="1"/>
  <c r="I240" i="15"/>
  <c r="J240" i="15" s="1"/>
  <c r="K240" i="15" s="1"/>
  <c r="I219" i="15"/>
  <c r="J219" i="15" s="1"/>
  <c r="K219" i="15" s="1"/>
  <c r="I220" i="15"/>
  <c r="J220" i="15" s="1"/>
  <c r="K220" i="15" s="1"/>
  <c r="I207" i="15"/>
  <c r="J207" i="15" s="1"/>
  <c r="K207" i="15" s="1"/>
  <c r="I157" i="15"/>
  <c r="J157" i="15" s="1"/>
  <c r="K157" i="15" s="1"/>
  <c r="I71" i="15"/>
  <c r="J71" i="15" s="1"/>
  <c r="K71" i="15" s="1"/>
  <c r="I69" i="15"/>
  <c r="J69" i="15" s="1"/>
  <c r="K69" i="15" s="1"/>
  <c r="I70" i="15"/>
  <c r="J70" i="15" s="1"/>
  <c r="K70" i="15" s="1"/>
  <c r="I73" i="15"/>
  <c r="J73" i="15" s="1"/>
  <c r="K73" i="15" s="1"/>
  <c r="I21" i="15"/>
  <c r="J21" i="15" s="1"/>
  <c r="K21" i="15" s="1"/>
  <c r="N21" i="15" l="1"/>
  <c r="O21" i="15" s="1"/>
  <c r="N70" i="15"/>
  <c r="O70" i="15" s="1"/>
  <c r="N207" i="15"/>
  <c r="O207" i="15" s="1"/>
  <c r="N219" i="15"/>
  <c r="O219" i="15" s="1"/>
  <c r="N69" i="15"/>
  <c r="O69" i="15" s="1"/>
  <c r="N157" i="15"/>
  <c r="O157" i="15" s="1"/>
  <c r="N240" i="15"/>
  <c r="O240" i="15" s="1"/>
  <c r="N306" i="15"/>
  <c r="O306" i="15" s="1"/>
  <c r="N448" i="15"/>
  <c r="O448" i="15" s="1"/>
  <c r="N73" i="15"/>
  <c r="O73" i="15" s="1"/>
  <c r="N220" i="15"/>
  <c r="O220" i="15" s="1"/>
  <c r="N450" i="15"/>
  <c r="O450" i="15" s="1"/>
  <c r="N71" i="15"/>
  <c r="O71" i="15" s="1"/>
  <c r="N265" i="15"/>
  <c r="O265" i="15" s="1"/>
  <c r="N346" i="15"/>
  <c r="O346" i="15" s="1"/>
  <c r="N449" i="15"/>
  <c r="O449" i="15" s="1"/>
  <c r="N486" i="15"/>
  <c r="O486" i="15" s="1"/>
  <c r="I407" i="15"/>
  <c r="J407" i="15" s="1"/>
  <c r="K407" i="15" s="1"/>
  <c r="I397" i="15"/>
  <c r="J397" i="15" s="1"/>
  <c r="K397" i="15" s="1"/>
  <c r="I401" i="15"/>
  <c r="J401" i="15" s="1"/>
  <c r="K401" i="15" s="1"/>
  <c r="I399" i="15"/>
  <c r="J399" i="15" s="1"/>
  <c r="K399" i="15" s="1"/>
  <c r="I302" i="15"/>
  <c r="J302" i="15" s="1"/>
  <c r="K302" i="15" s="1"/>
  <c r="I282" i="15"/>
  <c r="J282" i="15" s="1"/>
  <c r="K282" i="15" s="1"/>
  <c r="I271" i="15"/>
  <c r="J271" i="15" s="1"/>
  <c r="K271" i="15" s="1"/>
  <c r="I280" i="15"/>
  <c r="J280" i="15" s="1"/>
  <c r="K280" i="15" s="1"/>
  <c r="I239" i="15"/>
  <c r="J239" i="15" s="1"/>
  <c r="K239" i="15" s="1"/>
  <c r="I221" i="15"/>
  <c r="J221" i="15" s="1"/>
  <c r="K221" i="15" s="1"/>
  <c r="I185" i="15"/>
  <c r="J185" i="15" s="1"/>
  <c r="K185" i="15" s="1"/>
  <c r="I182" i="15"/>
  <c r="J182" i="15" s="1"/>
  <c r="K182" i="15" s="1"/>
  <c r="I155" i="15"/>
  <c r="J155" i="15" s="1"/>
  <c r="K155" i="15" s="1"/>
  <c r="I149" i="15"/>
  <c r="J149" i="15" s="1"/>
  <c r="K149" i="15" s="1"/>
  <c r="I124" i="15"/>
  <c r="J124" i="15" s="1"/>
  <c r="K124" i="15" s="1"/>
  <c r="I115" i="15"/>
  <c r="J115" i="15" s="1"/>
  <c r="K115" i="15" s="1"/>
  <c r="I116" i="15"/>
  <c r="J116" i="15" s="1"/>
  <c r="K116" i="15" s="1"/>
  <c r="I93" i="15"/>
  <c r="J93" i="15" s="1"/>
  <c r="K93" i="15" s="1"/>
  <c r="I45" i="15"/>
  <c r="J45" i="15" s="1"/>
  <c r="K45" i="15" s="1"/>
  <c r="I26" i="15"/>
  <c r="J26" i="15" s="1"/>
  <c r="K26" i="15" s="1"/>
  <c r="I18" i="15"/>
  <c r="J18" i="15" s="1"/>
  <c r="K18" i="15" s="1"/>
  <c r="N115" i="15" l="1"/>
  <c r="O115" i="15" s="1"/>
  <c r="N280" i="15"/>
  <c r="O280" i="15" s="1"/>
  <c r="N271" i="15"/>
  <c r="O271" i="15" s="1"/>
  <c r="N124" i="15"/>
  <c r="O124" i="15" s="1"/>
  <c r="N149" i="15"/>
  <c r="O149" i="15" s="1"/>
  <c r="N282" i="15"/>
  <c r="O282" i="15" s="1"/>
  <c r="N26" i="15"/>
  <c r="O26" i="15" s="1"/>
  <c r="N45" i="15"/>
  <c r="O45" i="15" s="1"/>
  <c r="N182" i="15"/>
  <c r="O182" i="15" s="1"/>
  <c r="N185" i="15"/>
  <c r="O185" i="15" s="1"/>
  <c r="N399" i="15"/>
  <c r="O399" i="15" s="1"/>
  <c r="N401" i="15"/>
  <c r="O401" i="15" s="1"/>
  <c r="N93" i="15"/>
  <c r="O93" i="15" s="1"/>
  <c r="N221" i="15"/>
  <c r="O221" i="15" s="1"/>
  <c r="N397" i="15"/>
  <c r="O397" i="15" s="1"/>
  <c r="N18" i="15"/>
  <c r="O18" i="15" s="1"/>
  <c r="N155" i="15"/>
  <c r="O155" i="15" s="1"/>
  <c r="N302" i="15"/>
  <c r="O302" i="15" s="1"/>
  <c r="N116" i="15"/>
  <c r="O116" i="15" s="1"/>
  <c r="N239" i="15"/>
  <c r="O239" i="15" s="1"/>
  <c r="N407" i="15"/>
  <c r="I146" i="15"/>
  <c r="J146" i="15" s="1"/>
  <c r="K146" i="15" s="1"/>
  <c r="I12" i="15"/>
  <c r="J12" i="15" s="1"/>
  <c r="I206" i="15"/>
  <c r="J206" i="15" s="1"/>
  <c r="K206" i="15" s="1"/>
  <c r="I20" i="15"/>
  <c r="J20" i="15" s="1"/>
  <c r="K20" i="15" s="1"/>
  <c r="I245" i="15"/>
  <c r="J245" i="15" s="1"/>
  <c r="K245" i="15" s="1"/>
  <c r="I244" i="15"/>
  <c r="J244" i="15" s="1"/>
  <c r="K244" i="15" s="1"/>
  <c r="I33" i="15"/>
  <c r="J33" i="15" s="1"/>
  <c r="K33" i="15" s="1"/>
  <c r="I57" i="15"/>
  <c r="J57" i="15" s="1"/>
  <c r="K57" i="15" s="1"/>
  <c r="I468" i="15"/>
  <c r="J468" i="15" s="1"/>
  <c r="K468" i="15" s="1"/>
  <c r="I234" i="15"/>
  <c r="J234" i="15" s="1"/>
  <c r="K234" i="15" s="1"/>
  <c r="I474" i="15"/>
  <c r="J474" i="15" s="1"/>
  <c r="K474" i="15" s="1"/>
  <c r="I109" i="15"/>
  <c r="J109" i="15" s="1"/>
  <c r="K109" i="15" s="1"/>
  <c r="I130" i="15"/>
  <c r="J130" i="15" s="1"/>
  <c r="K130" i="15" s="1"/>
  <c r="I382" i="15"/>
  <c r="J382" i="15" s="1"/>
  <c r="K382" i="15" s="1"/>
  <c r="I459" i="15"/>
  <c r="J459" i="15" s="1"/>
  <c r="K459" i="15" s="1"/>
  <c r="I432" i="15"/>
  <c r="J432" i="15" s="1"/>
  <c r="K432" i="15" s="1"/>
  <c r="I83" i="15"/>
  <c r="J83" i="15" s="1"/>
  <c r="K83" i="15" s="1"/>
  <c r="I396" i="15"/>
  <c r="J396" i="15" s="1"/>
  <c r="K396" i="15" s="1"/>
  <c r="I180" i="15"/>
  <c r="J180" i="15" s="1"/>
  <c r="K180" i="15" s="1"/>
  <c r="I393" i="15"/>
  <c r="J393" i="15" s="1"/>
  <c r="K393" i="15" s="1"/>
  <c r="I405" i="15"/>
  <c r="J405" i="15" s="1"/>
  <c r="K405" i="15" s="1"/>
  <c r="I293" i="15"/>
  <c r="J293" i="15" s="1"/>
  <c r="K293" i="15" s="1"/>
  <c r="K12" i="15" l="1"/>
  <c r="N12" i="15" s="1"/>
  <c r="O12" i="15" s="1"/>
  <c r="N146" i="15"/>
  <c r="O146" i="15" s="1"/>
  <c r="N396" i="15"/>
  <c r="O396" i="15" s="1"/>
  <c r="N234" i="15"/>
  <c r="O234" i="15" s="1"/>
  <c r="N382" i="15"/>
  <c r="O382" i="15" s="1"/>
  <c r="N245" i="15"/>
  <c r="O245" i="15" s="1"/>
  <c r="N244" i="15"/>
  <c r="O244" i="15" s="1"/>
  <c r="N180" i="15"/>
  <c r="O180" i="15" s="1"/>
  <c r="N393" i="15"/>
  <c r="O393" i="15" s="1"/>
  <c r="N109" i="15"/>
  <c r="O109" i="15" s="1"/>
  <c r="N83" i="15"/>
  <c r="O83" i="15" s="1"/>
  <c r="N33" i="15"/>
  <c r="O33" i="15" s="1"/>
  <c r="N20" i="15"/>
  <c r="O20" i="15" s="1"/>
  <c r="N206" i="15"/>
  <c r="O206" i="15" s="1"/>
  <c r="N468" i="15"/>
  <c r="O468" i="15" s="1"/>
  <c r="N459" i="15"/>
  <c r="O459" i="15" s="1"/>
  <c r="N293" i="15"/>
  <c r="O293" i="15" s="1"/>
  <c r="N432" i="15"/>
  <c r="O432" i="15" s="1"/>
  <c r="N405" i="15"/>
  <c r="O405" i="15" s="1"/>
  <c r="N474" i="15"/>
  <c r="O474" i="15" s="1"/>
  <c r="N57" i="15"/>
  <c r="O57" i="15" s="1"/>
  <c r="N130" i="15"/>
  <c r="O130" i="15" s="1"/>
  <c r="I16" i="9" l="1"/>
  <c r="I17" i="9"/>
  <c r="I10" i="9"/>
  <c r="I11" i="9"/>
  <c r="H82" i="16"/>
  <c r="G100" i="16"/>
  <c r="H100" i="16"/>
  <c r="H99" i="16"/>
  <c r="G99" i="16"/>
  <c r="G95" i="16"/>
  <c r="H95" i="16"/>
  <c r="I230" i="15"/>
  <c r="J230" i="15" s="1"/>
  <c r="K230" i="15" s="1"/>
  <c r="I359" i="15"/>
  <c r="J359" i="15" s="1"/>
  <c r="K359" i="15" s="1"/>
  <c r="I273" i="15"/>
  <c r="J273" i="15" s="1"/>
  <c r="K273" i="15" s="1"/>
  <c r="I350" i="15"/>
  <c r="J350" i="15" s="1"/>
  <c r="K350" i="15" s="1"/>
  <c r="I369" i="15"/>
  <c r="J369" i="15" s="1"/>
  <c r="K369" i="15" s="1"/>
  <c r="I106" i="15"/>
  <c r="J106" i="15" s="1"/>
  <c r="K106" i="15" s="1"/>
  <c r="I329" i="15"/>
  <c r="J329" i="15" s="1"/>
  <c r="K329" i="15" s="1"/>
  <c r="I331" i="15"/>
  <c r="J331" i="15" s="1"/>
  <c r="I332" i="15"/>
  <c r="J332" i="15" s="1"/>
  <c r="K332" i="15" s="1"/>
  <c r="I333" i="15"/>
  <c r="J333" i="15" s="1"/>
  <c r="K333" i="15" s="1"/>
  <c r="I334" i="15"/>
  <c r="J334" i="15" s="1"/>
  <c r="K334" i="15" s="1"/>
  <c r="I107" i="15"/>
  <c r="J107" i="15" s="1"/>
  <c r="K107" i="15" s="1"/>
  <c r="H8" i="9"/>
  <c r="H10" i="10"/>
  <c r="K331" i="15" l="1"/>
  <c r="N331" i="15" s="1"/>
  <c r="O331" i="15" s="1"/>
  <c r="N369" i="15"/>
  <c r="O369" i="15" s="1"/>
  <c r="I15" i="9"/>
  <c r="I14" i="9"/>
  <c r="I13" i="9"/>
  <c r="I11" i="10"/>
  <c r="I10" i="10"/>
  <c r="N106" i="15"/>
  <c r="O106" i="15" s="1"/>
  <c r="N273" i="15"/>
  <c r="O273" i="15" s="1"/>
  <c r="N334" i="15"/>
  <c r="O334" i="15" s="1"/>
  <c r="N333" i="15"/>
  <c r="O333" i="15" s="1"/>
  <c r="N332" i="15"/>
  <c r="O332" i="15" s="1"/>
  <c r="N329" i="15"/>
  <c r="O329" i="15" s="1"/>
  <c r="N107" i="15"/>
  <c r="O107" i="15" s="1"/>
  <c r="N350" i="15"/>
  <c r="O350" i="15" s="1"/>
  <c r="N359" i="15"/>
  <c r="O359" i="15" s="1"/>
  <c r="N230" i="15"/>
  <c r="O230" i="15" s="1"/>
  <c r="H99" i="12"/>
  <c r="H98" i="12"/>
  <c r="H97" i="12"/>
  <c r="H96" i="12"/>
  <c r="H95" i="12"/>
  <c r="H94" i="12"/>
  <c r="I147" i="15" l="1"/>
  <c r="J147" i="15" s="1"/>
  <c r="K147" i="15" s="1"/>
  <c r="I145" i="15"/>
  <c r="J145" i="15" s="1"/>
  <c r="K145" i="15" s="1"/>
  <c r="I143" i="15"/>
  <c r="J143" i="15" s="1"/>
  <c r="K143" i="15" s="1"/>
  <c r="I142" i="15"/>
  <c r="J142" i="15" s="1"/>
  <c r="K142" i="15" s="1"/>
  <c r="I144" i="15"/>
  <c r="J144" i="15" s="1"/>
  <c r="K144" i="15" s="1"/>
  <c r="I141" i="15"/>
  <c r="J141" i="15" s="1"/>
  <c r="I140" i="15"/>
  <c r="J140" i="15" s="1"/>
  <c r="I139" i="15"/>
  <c r="J139" i="15" s="1"/>
  <c r="K139" i="15" s="1"/>
  <c r="I138" i="15"/>
  <c r="J138" i="15" s="1"/>
  <c r="K138" i="15" s="1"/>
  <c r="I137" i="15"/>
  <c r="J137" i="15" s="1"/>
  <c r="K137" i="15" s="1"/>
  <c r="I134" i="15"/>
  <c r="J134" i="15" s="1"/>
  <c r="K134" i="15" s="1"/>
  <c r="I133" i="15"/>
  <c r="J133" i="15" s="1"/>
  <c r="K133" i="15" s="1"/>
  <c r="I179" i="15"/>
  <c r="J179" i="15" s="1"/>
  <c r="K179" i="15" s="1"/>
  <c r="I68" i="15"/>
  <c r="J68" i="15" s="1"/>
  <c r="K68" i="15" s="1"/>
  <c r="I327" i="15"/>
  <c r="J327" i="15" s="1"/>
  <c r="I325" i="15"/>
  <c r="J325" i="15" s="1"/>
  <c r="K325" i="15" s="1"/>
  <c r="I304" i="15"/>
  <c r="J304" i="15" s="1"/>
  <c r="I446" i="15"/>
  <c r="J446" i="15" s="1"/>
  <c r="K446" i="15" s="1"/>
  <c r="I351" i="15"/>
  <c r="J351" i="15" s="1"/>
  <c r="K351" i="15" s="1"/>
  <c r="I125" i="15"/>
  <c r="J125" i="15" s="1"/>
  <c r="K125" i="15" s="1"/>
  <c r="I413" i="15"/>
  <c r="J413" i="15" s="1"/>
  <c r="K413" i="15" s="1"/>
  <c r="I218" i="15"/>
  <c r="J218" i="15" s="1"/>
  <c r="K218" i="15" s="1"/>
  <c r="I417" i="15"/>
  <c r="J417" i="15" s="1"/>
  <c r="I52" i="15"/>
  <c r="J52" i="15" s="1"/>
  <c r="K52" i="15" s="1"/>
  <c r="I148" i="15"/>
  <c r="J148" i="15" s="1"/>
  <c r="K327" i="15" l="1"/>
  <c r="N327" i="15" s="1"/>
  <c r="O327" i="15" s="1"/>
  <c r="K141" i="15"/>
  <c r="N141" i="15" s="1"/>
  <c r="O141" i="15" s="1"/>
  <c r="K417" i="15"/>
  <c r="N417" i="15" s="1"/>
  <c r="O417" i="15" s="1"/>
  <c r="K140" i="15"/>
  <c r="N140" i="15" s="1"/>
  <c r="O140" i="15" s="1"/>
  <c r="K148" i="15"/>
  <c r="N148" i="15" s="1"/>
  <c r="O148" i="15" s="1"/>
  <c r="K304" i="15"/>
  <c r="N304" i="15" s="1"/>
  <c r="O304" i="15" s="1"/>
  <c r="N351" i="15"/>
  <c r="O351" i="15" s="1"/>
  <c r="N134" i="15"/>
  <c r="O134" i="15" s="1"/>
  <c r="N147" i="15"/>
  <c r="O147" i="15" s="1"/>
  <c r="N138" i="15"/>
  <c r="O138" i="15" s="1"/>
  <c r="N413" i="15"/>
  <c r="O413" i="15" s="1"/>
  <c r="N179" i="15"/>
  <c r="O179" i="15" s="1"/>
  <c r="N144" i="15"/>
  <c r="O144" i="15" s="1"/>
  <c r="N143" i="15"/>
  <c r="O143" i="15" s="1"/>
  <c r="N52" i="15"/>
  <c r="O52" i="15" s="1"/>
  <c r="N218" i="15"/>
  <c r="O218" i="15" s="1"/>
  <c r="N125" i="15"/>
  <c r="O125" i="15" s="1"/>
  <c r="N446" i="15"/>
  <c r="O446" i="15" s="1"/>
  <c r="N325" i="15"/>
  <c r="O325" i="15" s="1"/>
  <c r="N68" i="15"/>
  <c r="O68" i="15" s="1"/>
  <c r="N133" i="15"/>
  <c r="O133" i="15" s="1"/>
  <c r="N137" i="15"/>
  <c r="O137" i="15" s="1"/>
  <c r="N139" i="15"/>
  <c r="O139" i="15" s="1"/>
  <c r="N142" i="15"/>
  <c r="O142" i="15" s="1"/>
  <c r="N145" i="15"/>
  <c r="O145" i="15" s="1"/>
  <c r="D71" i="1" l="1"/>
  <c r="F74" i="1" s="1"/>
  <c r="D67" i="1" s="1"/>
  <c r="F65" i="1"/>
  <c r="D70" i="1"/>
  <c r="J11" i="16" l="1"/>
  <c r="G98" i="16" l="1"/>
  <c r="G97" i="16"/>
  <c r="G96" i="16"/>
  <c r="G93" i="16"/>
  <c r="G91" i="16"/>
  <c r="G90" i="16"/>
  <c r="G89" i="16"/>
  <c r="G87" i="16"/>
  <c r="G86" i="16"/>
  <c r="G85" i="16"/>
  <c r="G82" i="16"/>
  <c r="G80" i="16"/>
  <c r="G79" i="16"/>
  <c r="G78" i="16"/>
  <c r="G77" i="16"/>
  <c r="G76" i="16"/>
  <c r="G75" i="16"/>
  <c r="G73" i="16"/>
  <c r="G72" i="16"/>
  <c r="G70" i="16"/>
  <c r="G68" i="16"/>
  <c r="G67" i="16"/>
  <c r="G66" i="16"/>
  <c r="G65" i="16"/>
  <c r="G64" i="16"/>
  <c r="G62" i="16"/>
  <c r="G61" i="16"/>
  <c r="G60" i="16"/>
  <c r="G59" i="16"/>
  <c r="G57" i="16"/>
  <c r="G56" i="16"/>
  <c r="G55" i="16"/>
  <c r="G53" i="16"/>
  <c r="G52" i="16"/>
  <c r="G50" i="16"/>
  <c r="G49" i="16"/>
  <c r="G48" i="16"/>
  <c r="G47" i="16"/>
  <c r="A94" i="16"/>
  <c r="A93" i="16"/>
  <c r="A92" i="16"/>
  <c r="A91" i="16"/>
  <c r="A90" i="16"/>
  <c r="A89" i="16"/>
  <c r="A88" i="16"/>
  <c r="A87" i="16"/>
  <c r="A86" i="16"/>
  <c r="A85" i="16"/>
  <c r="A84" i="16"/>
  <c r="A83" i="16"/>
  <c r="A82" i="16"/>
  <c r="A81" i="16"/>
  <c r="A80" i="16"/>
  <c r="A79" i="16"/>
  <c r="A75" i="16"/>
  <c r="A74" i="16"/>
  <c r="A73" i="16"/>
  <c r="A72" i="16"/>
  <c r="A70" i="16"/>
  <c r="A69" i="16"/>
  <c r="A68" i="16"/>
  <c r="A67" i="16"/>
  <c r="A66" i="16"/>
  <c r="A65" i="16"/>
  <c r="A64" i="16"/>
  <c r="A63" i="16"/>
  <c r="A61" i="16"/>
  <c r="A59" i="16"/>
  <c r="A58" i="16"/>
  <c r="A57" i="16"/>
  <c r="A56" i="16"/>
  <c r="A55" i="16"/>
  <c r="A54" i="16"/>
  <c r="A53" i="16"/>
  <c r="A52" i="16"/>
  <c r="A50" i="16"/>
  <c r="A49" i="16"/>
  <c r="B83" i="16"/>
  <c r="B49" i="16" l="1"/>
  <c r="B59" i="16"/>
  <c r="B61" i="16"/>
  <c r="B63" i="16"/>
  <c r="B64" i="16"/>
  <c r="B65" i="16"/>
  <c r="B66" i="16"/>
  <c r="B67" i="16"/>
  <c r="B68" i="16"/>
  <c r="B69" i="16"/>
  <c r="B70" i="16"/>
  <c r="B72" i="16"/>
  <c r="B73" i="16"/>
  <c r="B74" i="16"/>
  <c r="B75" i="16"/>
  <c r="B80" i="16"/>
  <c r="B81" i="16"/>
  <c r="B82" i="16"/>
  <c r="B84" i="16"/>
  <c r="B85" i="16"/>
  <c r="B86" i="16"/>
  <c r="B87" i="16"/>
  <c r="B88" i="16"/>
  <c r="B89" i="16"/>
  <c r="B90" i="16"/>
  <c r="B91" i="16"/>
  <c r="B92" i="16"/>
  <c r="B93" i="16"/>
  <c r="B94" i="16"/>
  <c r="H98" i="16"/>
  <c r="H97" i="16"/>
  <c r="H96" i="16"/>
  <c r="H93" i="16"/>
  <c r="H91" i="16"/>
  <c r="H90" i="16"/>
  <c r="H89" i="16"/>
  <c r="H87" i="16"/>
  <c r="H86" i="16"/>
  <c r="H85" i="16"/>
  <c r="H80" i="16"/>
  <c r="H79" i="16"/>
  <c r="H78" i="16"/>
  <c r="H77" i="16"/>
  <c r="H76" i="16"/>
  <c r="H75" i="16"/>
  <c r="H73" i="16"/>
  <c r="H72" i="16"/>
  <c r="H70" i="16"/>
  <c r="H68" i="16"/>
  <c r="H67" i="16"/>
  <c r="H66" i="16"/>
  <c r="H65" i="16"/>
  <c r="H64" i="16"/>
  <c r="H62" i="16"/>
  <c r="H61" i="16"/>
  <c r="H60" i="16"/>
  <c r="H59" i="16"/>
  <c r="H57" i="16"/>
  <c r="H56" i="16"/>
  <c r="H55" i="16"/>
  <c r="H53" i="16"/>
  <c r="H52" i="16"/>
  <c r="H50" i="16"/>
  <c r="H49" i="16"/>
  <c r="H48" i="16"/>
  <c r="H47" i="16"/>
  <c r="B98" i="16"/>
  <c r="B97" i="16"/>
  <c r="B96" i="16"/>
  <c r="B58" i="16"/>
  <c r="B57" i="16"/>
  <c r="B56" i="16"/>
  <c r="B55" i="16"/>
  <c r="B54" i="16"/>
  <c r="B53" i="16"/>
  <c r="B52" i="16"/>
  <c r="B50" i="16"/>
  <c r="B47" i="16"/>
  <c r="J26" i="16"/>
  <c r="J25" i="16"/>
  <c r="A1" i="12" l="1"/>
  <c r="A1" i="11"/>
  <c r="A1" i="9"/>
  <c r="A1" i="10"/>
  <c r="A1" i="8"/>
  <c r="A1" i="2"/>
  <c r="A1" i="1"/>
  <c r="A1" i="15" l="1"/>
  <c r="I23" i="15" l="1"/>
  <c r="J23" i="15" s="1"/>
  <c r="K23" i="15" s="1"/>
  <c r="I24" i="15"/>
  <c r="J24" i="15" s="1"/>
  <c r="K24" i="15" s="1"/>
  <c r="I25" i="15"/>
  <c r="J25" i="15" s="1"/>
  <c r="K25" i="15" s="1"/>
  <c r="I53" i="15"/>
  <c r="J53" i="15" s="1"/>
  <c r="K53" i="15" s="1"/>
  <c r="I54" i="15"/>
  <c r="J54" i="15" s="1"/>
  <c r="K54" i="15" s="1"/>
  <c r="I76" i="15"/>
  <c r="J76" i="15" s="1"/>
  <c r="K76" i="15" s="1"/>
  <c r="I91" i="15"/>
  <c r="J91" i="15" s="1"/>
  <c r="K91" i="15" s="1"/>
  <c r="I92" i="15"/>
  <c r="J92" i="15" s="1"/>
  <c r="K92" i="15" s="1"/>
  <c r="I98" i="15"/>
  <c r="J98" i="15" s="1"/>
  <c r="K98" i="15" s="1"/>
  <c r="I99" i="15"/>
  <c r="J99" i="15" s="1"/>
  <c r="K99" i="15" s="1"/>
  <c r="I100" i="15"/>
  <c r="J100" i="15" s="1"/>
  <c r="K100" i="15" s="1"/>
  <c r="I101" i="15"/>
  <c r="J101" i="15" s="1"/>
  <c r="K101" i="15" s="1"/>
  <c r="I102" i="15"/>
  <c r="J102" i="15" s="1"/>
  <c r="K102" i="15" s="1"/>
  <c r="I103" i="15"/>
  <c r="J103" i="15" s="1"/>
  <c r="K103" i="15" s="1"/>
  <c r="I104" i="15"/>
  <c r="J104" i="15" s="1"/>
  <c r="K104" i="15" s="1"/>
  <c r="I105" i="15"/>
  <c r="J105" i="15" s="1"/>
  <c r="K105" i="15" s="1"/>
  <c r="I113" i="15"/>
  <c r="J113" i="15" s="1"/>
  <c r="K113" i="15" s="1"/>
  <c r="I114" i="15"/>
  <c r="J114" i="15" s="1"/>
  <c r="K114" i="15" s="1"/>
  <c r="I169" i="15"/>
  <c r="J169" i="15" s="1"/>
  <c r="K169" i="15" s="1"/>
  <c r="I170" i="15"/>
  <c r="J170" i="15" s="1"/>
  <c r="K170" i="15" s="1"/>
  <c r="I171" i="15"/>
  <c r="J171" i="15" s="1"/>
  <c r="K171" i="15" s="1"/>
  <c r="I172" i="15"/>
  <c r="J172" i="15" s="1"/>
  <c r="K172" i="15" s="1"/>
  <c r="I173" i="15"/>
  <c r="J173" i="15" s="1"/>
  <c r="K173" i="15" s="1"/>
  <c r="I174" i="15"/>
  <c r="J174" i="15" s="1"/>
  <c r="K174" i="15" s="1"/>
  <c r="I175" i="15"/>
  <c r="J175" i="15" s="1"/>
  <c r="K175" i="15" s="1"/>
  <c r="I176" i="15"/>
  <c r="J176" i="15" s="1"/>
  <c r="K176" i="15" s="1"/>
  <c r="I177" i="15"/>
  <c r="J177" i="15" s="1"/>
  <c r="K177" i="15" s="1"/>
  <c r="I178" i="15"/>
  <c r="J178" i="15" s="1"/>
  <c r="K178" i="15" s="1"/>
  <c r="I181" i="15"/>
  <c r="J181" i="15" s="1"/>
  <c r="K181" i="15" s="1"/>
  <c r="I183" i="15"/>
  <c r="J183" i="15" s="1"/>
  <c r="K183" i="15" s="1"/>
  <c r="I184" i="15"/>
  <c r="J184" i="15" s="1"/>
  <c r="K184" i="15" s="1"/>
  <c r="I187" i="15"/>
  <c r="J187" i="15" s="1"/>
  <c r="K187" i="15" s="1"/>
  <c r="I188" i="15"/>
  <c r="J188" i="15" s="1"/>
  <c r="K188" i="15" s="1"/>
  <c r="I189" i="15"/>
  <c r="J189" i="15" s="1"/>
  <c r="K189" i="15" s="1"/>
  <c r="I190" i="15"/>
  <c r="J190" i="15" s="1"/>
  <c r="K190" i="15" s="1"/>
  <c r="I208" i="15"/>
  <c r="J208" i="15" s="1"/>
  <c r="K208" i="15" s="1"/>
  <c r="I238" i="15"/>
  <c r="J238" i="15" s="1"/>
  <c r="K238" i="15" s="1"/>
  <c r="I260" i="15"/>
  <c r="J260" i="15" s="1"/>
  <c r="K260" i="15" s="1"/>
  <c r="I261" i="15"/>
  <c r="J261" i="15" s="1"/>
  <c r="K261" i="15" s="1"/>
  <c r="I262" i="15"/>
  <c r="J262" i="15" s="1"/>
  <c r="K262" i="15" s="1"/>
  <c r="I263" i="15"/>
  <c r="J263" i="15" s="1"/>
  <c r="K263" i="15" s="1"/>
  <c r="I264" i="15"/>
  <c r="J264" i="15" s="1"/>
  <c r="K264" i="15" s="1"/>
  <c r="I266" i="15"/>
  <c r="J266" i="15" s="1"/>
  <c r="K266" i="15" s="1"/>
  <c r="I268" i="15"/>
  <c r="J268" i="15" s="1"/>
  <c r="K268" i="15" s="1"/>
  <c r="I269" i="15"/>
  <c r="J269" i="15" s="1"/>
  <c r="K269" i="15" s="1"/>
  <c r="I272" i="15"/>
  <c r="J272" i="15" s="1"/>
  <c r="K272" i="15" s="1"/>
  <c r="I283" i="15"/>
  <c r="J283" i="15" s="1"/>
  <c r="K283" i="15" s="1"/>
  <c r="I285" i="15"/>
  <c r="J285" i="15" s="1"/>
  <c r="K285" i="15" s="1"/>
  <c r="I295" i="15"/>
  <c r="J295" i="15" s="1"/>
  <c r="K295" i="15" s="1"/>
  <c r="I315" i="15"/>
  <c r="J315" i="15" s="1"/>
  <c r="K315" i="15" s="1"/>
  <c r="I316" i="15"/>
  <c r="J316" i="15" s="1"/>
  <c r="K316" i="15" s="1"/>
  <c r="I317" i="15"/>
  <c r="J317" i="15" s="1"/>
  <c r="K317" i="15" s="1"/>
  <c r="I318" i="15"/>
  <c r="J318" i="15" s="1"/>
  <c r="K318" i="15" s="1"/>
  <c r="I319" i="15"/>
  <c r="J319" i="15" s="1"/>
  <c r="K319" i="15" s="1"/>
  <c r="I320" i="15"/>
  <c r="J320" i="15" s="1"/>
  <c r="K320" i="15" s="1"/>
  <c r="I323" i="15"/>
  <c r="J323" i="15" s="1"/>
  <c r="K323" i="15" s="1"/>
  <c r="I394" i="15"/>
  <c r="J394" i="15" s="1"/>
  <c r="K394" i="15" s="1"/>
  <c r="I410" i="15"/>
  <c r="J410" i="15" s="1"/>
  <c r="K410" i="15" s="1"/>
  <c r="I414" i="15"/>
  <c r="J414" i="15" s="1"/>
  <c r="K414" i="15" s="1"/>
  <c r="I415" i="15"/>
  <c r="J415" i="15" s="1"/>
  <c r="K415" i="15" s="1"/>
  <c r="I418" i="15"/>
  <c r="J418" i="15" s="1"/>
  <c r="K418" i="15" s="1"/>
  <c r="I441" i="15"/>
  <c r="J441" i="15" s="1"/>
  <c r="K441" i="15" s="1"/>
  <c r="I447" i="15"/>
  <c r="J447" i="15" s="1"/>
  <c r="K447" i="15" s="1"/>
  <c r="I452" i="15"/>
  <c r="J452" i="15" s="1"/>
  <c r="K452" i="15" s="1"/>
  <c r="I453" i="15"/>
  <c r="J453" i="15" s="1"/>
  <c r="K453" i="15" s="1"/>
  <c r="I461" i="15"/>
  <c r="J461" i="15" s="1"/>
  <c r="K461" i="15" s="1"/>
  <c r="I462" i="15"/>
  <c r="J462" i="15" s="1"/>
  <c r="K462" i="15" s="1"/>
  <c r="I463" i="15"/>
  <c r="J463" i="15" s="1"/>
  <c r="K463" i="15" s="1"/>
  <c r="I464" i="15"/>
  <c r="J464" i="15" s="1"/>
  <c r="K464" i="15" s="1"/>
  <c r="I20" i="2" l="1"/>
  <c r="I21" i="2"/>
  <c r="N462" i="15"/>
  <c r="O462" i="15" s="1"/>
  <c r="N447" i="15"/>
  <c r="O447" i="15" s="1"/>
  <c r="N414" i="15"/>
  <c r="O414" i="15" s="1"/>
  <c r="N320" i="15"/>
  <c r="O320" i="15" s="1"/>
  <c r="N316" i="15"/>
  <c r="O316" i="15" s="1"/>
  <c r="N283" i="15"/>
  <c r="O283" i="15" s="1"/>
  <c r="N266" i="15"/>
  <c r="O266" i="15" s="1"/>
  <c r="N261" i="15"/>
  <c r="O261" i="15" s="1"/>
  <c r="N190" i="15"/>
  <c r="O190" i="15" s="1"/>
  <c r="N184" i="15"/>
  <c r="O184" i="15" s="1"/>
  <c r="N177" i="15"/>
  <c r="O177" i="15" s="1"/>
  <c r="N173" i="15"/>
  <c r="O173" i="15" s="1"/>
  <c r="N169" i="15"/>
  <c r="O169" i="15" s="1"/>
  <c r="N104" i="15"/>
  <c r="O104" i="15" s="1"/>
  <c r="N100" i="15"/>
  <c r="O100" i="15" s="1"/>
  <c r="O407" i="15"/>
  <c r="N453" i="15"/>
  <c r="O453" i="15" s="1"/>
  <c r="N418" i="15"/>
  <c r="O418" i="15" s="1"/>
  <c r="N394" i="15"/>
  <c r="O394" i="15" s="1"/>
  <c r="N318" i="15"/>
  <c r="O318" i="15" s="1"/>
  <c r="N295" i="15"/>
  <c r="O295" i="15" s="1"/>
  <c r="N269" i="15"/>
  <c r="O269" i="15" s="1"/>
  <c r="N263" i="15"/>
  <c r="O263" i="15" s="1"/>
  <c r="N464" i="15"/>
  <c r="O464" i="15" s="1"/>
  <c r="N25" i="15"/>
  <c r="O25" i="15" s="1"/>
  <c r="N238" i="15"/>
  <c r="O238" i="15" s="1"/>
  <c r="N188" i="15"/>
  <c r="O188" i="15" s="1"/>
  <c r="N181" i="15"/>
  <c r="O181" i="15" s="1"/>
  <c r="N175" i="15"/>
  <c r="O175" i="15" s="1"/>
  <c r="N171" i="15"/>
  <c r="O171" i="15" s="1"/>
  <c r="N113" i="15"/>
  <c r="O113" i="15" s="1"/>
  <c r="N102" i="15"/>
  <c r="O102" i="15" s="1"/>
  <c r="N98" i="15"/>
  <c r="O98" i="15" s="1"/>
  <c r="N91" i="15"/>
  <c r="O91" i="15" s="1"/>
  <c r="N461" i="15"/>
  <c r="O461" i="15" s="1"/>
  <c r="N441" i="15"/>
  <c r="O441" i="15" s="1"/>
  <c r="N410" i="15"/>
  <c r="O410" i="15" s="1"/>
  <c r="N319" i="15"/>
  <c r="O319" i="15" s="1"/>
  <c r="N315" i="15"/>
  <c r="O315" i="15" s="1"/>
  <c r="N272" i="15"/>
  <c r="O272" i="15" s="1"/>
  <c r="N264" i="15"/>
  <c r="O264" i="15" s="1"/>
  <c r="N260" i="15"/>
  <c r="O260" i="15" s="1"/>
  <c r="N189" i="15"/>
  <c r="O189" i="15" s="1"/>
  <c r="N183" i="15"/>
  <c r="O183" i="15" s="1"/>
  <c r="N176" i="15"/>
  <c r="O176" i="15" s="1"/>
  <c r="N172" i="15"/>
  <c r="O172" i="15" s="1"/>
  <c r="N114" i="15"/>
  <c r="O114" i="15" s="1"/>
  <c r="N103" i="15"/>
  <c r="O103" i="15" s="1"/>
  <c r="N99" i="15"/>
  <c r="O99" i="15" s="1"/>
  <c r="N463" i="15"/>
  <c r="O463" i="15" s="1"/>
  <c r="N452" i="15"/>
  <c r="O452" i="15" s="1"/>
  <c r="N415" i="15"/>
  <c r="O415" i="15" s="1"/>
  <c r="N323" i="15"/>
  <c r="O323" i="15" s="1"/>
  <c r="N317" i="15"/>
  <c r="O317" i="15" s="1"/>
  <c r="N285" i="15"/>
  <c r="O285" i="15" s="1"/>
  <c r="N268" i="15"/>
  <c r="O268" i="15" s="1"/>
  <c r="N262" i="15"/>
  <c r="O262" i="15" s="1"/>
  <c r="N208" i="15"/>
  <c r="O208" i="15" s="1"/>
  <c r="N187" i="15"/>
  <c r="O187" i="15" s="1"/>
  <c r="N178" i="15"/>
  <c r="O178" i="15" s="1"/>
  <c r="N174" i="15"/>
  <c r="O174" i="15" s="1"/>
  <c r="N170" i="15"/>
  <c r="O170" i="15" s="1"/>
  <c r="N105" i="15"/>
  <c r="O105" i="15" s="1"/>
  <c r="N101" i="15"/>
  <c r="O101" i="15" s="1"/>
  <c r="N92" i="15"/>
  <c r="O92" i="15" s="1"/>
  <c r="N54" i="15"/>
  <c r="O54" i="15" s="1"/>
  <c r="N53" i="15"/>
  <c r="O53" i="15" s="1"/>
  <c r="N76" i="15"/>
  <c r="O76" i="15" s="1"/>
  <c r="N23" i="15"/>
  <c r="O23" i="15" s="1"/>
  <c r="N24" i="15"/>
  <c r="O24" i="15" s="1"/>
  <c r="G8" i="9" l="1"/>
  <c r="H8" i="8"/>
  <c r="G8" i="8" s="1"/>
  <c r="Q9" i="15" l="1"/>
  <c r="G74" i="12" l="1"/>
  <c r="L8" i="15"/>
  <c r="G8" i="12"/>
  <c r="S9" i="15"/>
  <c r="H8" i="15"/>
  <c r="E8" i="15"/>
  <c r="F8" i="15"/>
  <c r="G8" i="15"/>
  <c r="D8" i="15"/>
  <c r="I35" i="12" l="1"/>
  <c r="I36" i="12"/>
  <c r="I53" i="12"/>
  <c r="I54" i="12"/>
  <c r="I56" i="12"/>
  <c r="I52" i="12"/>
  <c r="I37" i="12"/>
  <c r="I61" i="12"/>
  <c r="I62" i="12"/>
  <c r="I63" i="12"/>
  <c r="I64" i="12"/>
  <c r="U270" i="15"/>
  <c r="U290" i="15"/>
  <c r="I13" i="12"/>
  <c r="I11" i="12"/>
  <c r="I10" i="12"/>
  <c r="I15" i="12"/>
  <c r="I12" i="12"/>
  <c r="I14" i="12"/>
  <c r="I16" i="12"/>
  <c r="U48" i="15"/>
  <c r="U289" i="15"/>
  <c r="U442" i="15"/>
  <c r="U229" i="15"/>
  <c r="U94" i="15"/>
  <c r="U95" i="15"/>
  <c r="I68" i="12"/>
  <c r="I67" i="12"/>
  <c r="I65" i="12"/>
  <c r="I66" i="12"/>
  <c r="I70" i="12"/>
  <c r="I73" i="12"/>
  <c r="I69" i="12"/>
  <c r="I49" i="12"/>
  <c r="I51" i="12"/>
  <c r="I48" i="12"/>
  <c r="I44" i="12"/>
  <c r="I43" i="12"/>
  <c r="I58" i="12"/>
  <c r="I47" i="12"/>
  <c r="I40" i="12"/>
  <c r="I50" i="12"/>
  <c r="I32" i="12"/>
  <c r="I38" i="12"/>
  <c r="I29" i="12"/>
  <c r="I24" i="12"/>
  <c r="I27" i="12"/>
  <c r="I25" i="12"/>
  <c r="I23" i="12"/>
  <c r="I19" i="12"/>
  <c r="I17" i="12"/>
  <c r="I18" i="12"/>
  <c r="I71" i="12"/>
  <c r="I55" i="12"/>
  <c r="I72" i="12"/>
  <c r="I57" i="12"/>
  <c r="I60" i="12"/>
  <c r="I59" i="12"/>
  <c r="I45" i="12"/>
  <c r="I42" i="12"/>
  <c r="I46" i="12"/>
  <c r="I41" i="12"/>
  <c r="I33" i="12"/>
  <c r="I39" i="12"/>
  <c r="I34" i="12"/>
  <c r="I31" i="12"/>
  <c r="I30" i="12"/>
  <c r="I28" i="12"/>
  <c r="I26" i="12"/>
  <c r="I22" i="12"/>
  <c r="I20" i="12"/>
  <c r="I21" i="12"/>
  <c r="U484" i="15"/>
  <c r="U482" i="15"/>
  <c r="U483" i="15"/>
  <c r="U485" i="15"/>
  <c r="U457" i="15"/>
  <c r="U458" i="15"/>
  <c r="U443" i="15"/>
  <c r="U456" i="15"/>
  <c r="U358" i="15"/>
  <c r="U428" i="15"/>
  <c r="U419" i="15"/>
  <c r="U309" i="15"/>
  <c r="U328" i="15"/>
  <c r="U292" i="15"/>
  <c r="U291" i="15"/>
  <c r="U258" i="15"/>
  <c r="U259" i="15"/>
  <c r="U212" i="15"/>
  <c r="U252" i="15"/>
  <c r="U251" i="15"/>
  <c r="U253" i="15"/>
  <c r="U151" i="15"/>
  <c r="U129" i="15"/>
  <c r="U153" i="15"/>
  <c r="U46" i="15"/>
  <c r="U50" i="15"/>
  <c r="U64" i="15"/>
  <c r="U111" i="15"/>
  <c r="U87" i="15"/>
  <c r="U84" i="15"/>
  <c r="U86" i="15"/>
  <c r="U85" i="15"/>
  <c r="U88" i="15"/>
  <c r="U112" i="15"/>
  <c r="U16" i="15"/>
  <c r="U15" i="15"/>
  <c r="U14" i="15"/>
  <c r="U13" i="15"/>
  <c r="B9" i="11"/>
  <c r="U203" i="15"/>
  <c r="U204" i="15"/>
  <c r="U250" i="15"/>
  <c r="U139" i="15"/>
  <c r="U19" i="15"/>
  <c r="U17" i="15"/>
  <c r="U18" i="15"/>
  <c r="U57" i="15"/>
  <c r="U342" i="15"/>
  <c r="U128" i="15"/>
  <c r="U351" i="15"/>
  <c r="U58" i="15"/>
  <c r="U126" i="15"/>
  <c r="U127" i="15"/>
  <c r="U350" i="15"/>
  <c r="U163" i="15"/>
  <c r="U174" i="15"/>
  <c r="U185" i="15"/>
  <c r="U343" i="15"/>
  <c r="U24" i="15"/>
  <c r="U396" i="15"/>
  <c r="U440" i="15"/>
  <c r="U475" i="15"/>
  <c r="U476" i="15"/>
  <c r="U20" i="15"/>
  <c r="U374" i="15"/>
  <c r="U450" i="15"/>
  <c r="U52" i="15"/>
  <c r="U158" i="15"/>
  <c r="U237" i="15"/>
  <c r="U321" i="15"/>
  <c r="U25" i="15"/>
  <c r="U395" i="15"/>
  <c r="U420" i="15"/>
  <c r="U433" i="15"/>
  <c r="U447" i="15"/>
  <c r="U468" i="15"/>
  <c r="U427" i="15"/>
  <c r="U448" i="15"/>
  <c r="U470" i="15"/>
  <c r="U392" i="15"/>
  <c r="U459" i="15"/>
  <c r="U22" i="15"/>
  <c r="U79" i="15"/>
  <c r="U118" i="15"/>
  <c r="U178" i="15"/>
  <c r="U231" i="15"/>
  <c r="U267" i="15"/>
  <c r="U407" i="15"/>
  <c r="U453" i="15"/>
  <c r="U474" i="15"/>
  <c r="U408" i="15"/>
  <c r="U463" i="15"/>
  <c r="U455" i="15"/>
  <c r="U362" i="15"/>
  <c r="U423" i="15"/>
  <c r="U73" i="15"/>
  <c r="U142" i="15"/>
  <c r="U197" i="15"/>
  <c r="U249" i="15"/>
  <c r="U308" i="15"/>
  <c r="U27" i="15"/>
  <c r="U33" i="15"/>
  <c r="U39" i="15"/>
  <c r="U45" i="15"/>
  <c r="U54" i="15"/>
  <c r="U62" i="15"/>
  <c r="U69" i="15"/>
  <c r="U75" i="15"/>
  <c r="U92" i="15"/>
  <c r="U81" i="15"/>
  <c r="U100" i="15"/>
  <c r="U106" i="15"/>
  <c r="U114" i="15"/>
  <c r="U120" i="15"/>
  <c r="U130" i="15"/>
  <c r="U136" i="15"/>
  <c r="U145" i="15"/>
  <c r="U149" i="15"/>
  <c r="U155" i="15"/>
  <c r="U161" i="15"/>
  <c r="U168" i="15"/>
  <c r="U173" i="15"/>
  <c r="U180" i="15"/>
  <c r="U187" i="15"/>
  <c r="U193" i="15"/>
  <c r="U199" i="15"/>
  <c r="U207" i="15"/>
  <c r="U221" i="15"/>
  <c r="U226" i="15"/>
  <c r="U218" i="15"/>
  <c r="U233" i="15"/>
  <c r="U239" i="15"/>
  <c r="U245" i="15"/>
  <c r="U255" i="15"/>
  <c r="U263" i="15"/>
  <c r="U269" i="15"/>
  <c r="U276" i="15"/>
  <c r="U282" i="15"/>
  <c r="U288" i="15"/>
  <c r="U298" i="15"/>
  <c r="U304" i="15"/>
  <c r="U311" i="15"/>
  <c r="U317" i="15"/>
  <c r="U323" i="15"/>
  <c r="U330" i="15"/>
  <c r="U336" i="15"/>
  <c r="U344" i="15"/>
  <c r="U352" i="15"/>
  <c r="U359" i="15"/>
  <c r="U365" i="15"/>
  <c r="U371" i="15"/>
  <c r="U377" i="15"/>
  <c r="U383" i="15"/>
  <c r="U389" i="15"/>
  <c r="U401" i="15"/>
  <c r="U413" i="15"/>
  <c r="U426" i="15"/>
  <c r="U439" i="15"/>
  <c r="U462" i="15"/>
  <c r="U480" i="15"/>
  <c r="U414" i="15"/>
  <c r="U454" i="15"/>
  <c r="U416" i="15"/>
  <c r="U21" i="15"/>
  <c r="U31" i="15"/>
  <c r="U156" i="15"/>
  <c r="U243" i="15"/>
  <c r="U421" i="15"/>
  <c r="U481" i="15"/>
  <c r="U404" i="15"/>
  <c r="U477" i="15"/>
  <c r="U37" i="15"/>
  <c r="U160" i="15"/>
  <c r="U286" i="15"/>
  <c r="U63" i="15"/>
  <c r="U70" i="15"/>
  <c r="U76" i="15"/>
  <c r="U93" i="15"/>
  <c r="U82" i="15"/>
  <c r="U101" i="15"/>
  <c r="U107" i="15"/>
  <c r="U115" i="15"/>
  <c r="U121" i="15"/>
  <c r="U131" i="15"/>
  <c r="U137" i="15"/>
  <c r="U146" i="15"/>
  <c r="U150" i="15"/>
  <c r="U140" i="15"/>
  <c r="U162" i="15"/>
  <c r="U169" i="15"/>
  <c r="U175" i="15"/>
  <c r="U181" i="15"/>
  <c r="U188" i="15"/>
  <c r="U194" i="15"/>
  <c r="U200" i="15"/>
  <c r="U208" i="15"/>
  <c r="U222" i="15"/>
  <c r="U213" i="15"/>
  <c r="U227" i="15"/>
  <c r="U234" i="15"/>
  <c r="U240" i="15"/>
  <c r="U246" i="15"/>
  <c r="U256" i="15"/>
  <c r="U264" i="15"/>
  <c r="U271" i="15"/>
  <c r="U277" i="15"/>
  <c r="U283" i="15"/>
  <c r="U293" i="15"/>
  <c r="U299" i="15"/>
  <c r="U305" i="15"/>
  <c r="U312" i="15"/>
  <c r="U318" i="15"/>
  <c r="U324" i="15"/>
  <c r="U331" i="15"/>
  <c r="U337" i="15"/>
  <c r="U345" i="15"/>
  <c r="U353" i="15"/>
  <c r="U360" i="15"/>
  <c r="U366" i="15"/>
  <c r="U372" i="15"/>
  <c r="U378" i="15"/>
  <c r="U384" i="15"/>
  <c r="U390" i="15"/>
  <c r="U402" i="15"/>
  <c r="U434" i="15"/>
  <c r="U469" i="15"/>
  <c r="U486" i="15"/>
  <c r="U436" i="15"/>
  <c r="U104" i="15"/>
  <c r="U205" i="15"/>
  <c r="U464" i="15"/>
  <c r="U380" i="15"/>
  <c r="U444" i="15"/>
  <c r="U60" i="15"/>
  <c r="U124" i="15"/>
  <c r="U216" i="15"/>
  <c r="U296" i="15"/>
  <c r="U29" i="15"/>
  <c r="U35" i="15"/>
  <c r="U41" i="15"/>
  <c r="U49" i="15"/>
  <c r="U56" i="15"/>
  <c r="U65" i="15"/>
  <c r="U71" i="15"/>
  <c r="U77" i="15"/>
  <c r="U96" i="15"/>
  <c r="U83" i="15"/>
  <c r="U102" i="15"/>
  <c r="U108" i="15"/>
  <c r="U116" i="15"/>
  <c r="U122" i="15"/>
  <c r="U132" i="15"/>
  <c r="U138" i="15"/>
  <c r="U147" i="15"/>
  <c r="U152" i="15"/>
  <c r="U164" i="15"/>
  <c r="U170" i="15"/>
  <c r="U176" i="15"/>
  <c r="U182" i="15"/>
  <c r="U189" i="15"/>
  <c r="U195" i="15"/>
  <c r="U201" i="15"/>
  <c r="U209" i="15"/>
  <c r="U211" i="15"/>
  <c r="U214" i="15"/>
  <c r="U228" i="15"/>
  <c r="U235" i="15"/>
  <c r="U241" i="15"/>
  <c r="U247" i="15"/>
  <c r="U257" i="15"/>
  <c r="U265" i="15"/>
  <c r="U272" i="15"/>
  <c r="U278" i="15"/>
  <c r="U284" i="15"/>
  <c r="U294" i="15"/>
  <c r="U300" i="15"/>
  <c r="U306" i="15"/>
  <c r="U313" i="15"/>
  <c r="U319" i="15"/>
  <c r="U325" i="15"/>
  <c r="U332" i="15"/>
  <c r="U338" i="15"/>
  <c r="U346" i="15"/>
  <c r="U354" i="15"/>
  <c r="U361" i="15"/>
  <c r="U367" i="15"/>
  <c r="U373" i="15"/>
  <c r="U379" i="15"/>
  <c r="U385" i="15"/>
  <c r="U391" i="15"/>
  <c r="U397" i="15"/>
  <c r="U403" i="15"/>
  <c r="U409" i="15"/>
  <c r="U415" i="15"/>
  <c r="U422" i="15"/>
  <c r="U429" i="15"/>
  <c r="U435" i="15"/>
  <c r="U441" i="15"/>
  <c r="U449" i="15"/>
  <c r="U410" i="15"/>
  <c r="U465" i="15"/>
  <c r="U67" i="15"/>
  <c r="U134" i="15"/>
  <c r="U219" i="15"/>
  <c r="U274" i="15"/>
  <c r="U386" i="15"/>
  <c r="U471" i="15"/>
  <c r="U90" i="15"/>
  <c r="U143" i="15"/>
  <c r="U191" i="15"/>
  <c r="U261" i="15"/>
  <c r="U315" i="15"/>
  <c r="U30" i="15"/>
  <c r="U36" i="15"/>
  <c r="U42" i="15"/>
  <c r="U51" i="15"/>
  <c r="U59" i="15"/>
  <c r="U66" i="15"/>
  <c r="U72" i="15"/>
  <c r="U89" i="15"/>
  <c r="U78" i="15"/>
  <c r="U97" i="15"/>
  <c r="U103" i="15"/>
  <c r="U109" i="15"/>
  <c r="U117" i="15"/>
  <c r="U123" i="15"/>
  <c r="U133" i="15"/>
  <c r="U141" i="15"/>
  <c r="U154" i="15"/>
  <c r="U157" i="15"/>
  <c r="U165" i="15"/>
  <c r="U171" i="15"/>
  <c r="U177" i="15"/>
  <c r="U183" i="15"/>
  <c r="U190" i="15"/>
  <c r="U196" i="15"/>
  <c r="U202" i="15"/>
  <c r="U210" i="15"/>
  <c r="U223" i="15"/>
  <c r="U215" i="15"/>
  <c r="U230" i="15"/>
  <c r="U236" i="15"/>
  <c r="U242" i="15"/>
  <c r="U248" i="15"/>
  <c r="U260" i="15"/>
  <c r="U266" i="15"/>
  <c r="U273" i="15"/>
  <c r="U279" i="15"/>
  <c r="U285" i="15"/>
  <c r="U295" i="15"/>
  <c r="U301" i="15"/>
  <c r="U307" i="15"/>
  <c r="U314" i="15"/>
  <c r="U320" i="15"/>
  <c r="U326" i="15"/>
  <c r="U333" i="15"/>
  <c r="U339" i="15"/>
  <c r="U347" i="15"/>
  <c r="U355" i="15"/>
  <c r="U368" i="15"/>
  <c r="U398" i="15"/>
  <c r="U430" i="15"/>
  <c r="U98" i="15"/>
  <c r="U110" i="15"/>
  <c r="U166" i="15"/>
  <c r="U224" i="15"/>
  <c r="U280" i="15"/>
  <c r="U43" i="15"/>
  <c r="U184" i="15"/>
  <c r="U302" i="15"/>
  <c r="U327" i="15"/>
  <c r="U405" i="15"/>
  <c r="U356" i="15"/>
  <c r="U369" i="15"/>
  <c r="U472" i="15"/>
  <c r="U363" i="15"/>
  <c r="U375" i="15"/>
  <c r="U451" i="15"/>
  <c r="U417" i="15"/>
  <c r="U466" i="15"/>
  <c r="U431" i="15"/>
  <c r="U478" i="15"/>
  <c r="U393" i="15"/>
  <c r="U340" i="15"/>
  <c r="U411" i="15"/>
  <c r="U387" i="15"/>
  <c r="U399" i="15"/>
  <c r="U424" i="15"/>
  <c r="U445" i="15"/>
  <c r="U334" i="15"/>
  <c r="U437" i="15"/>
  <c r="U23" i="15"/>
  <c r="U381" i="15"/>
  <c r="U460" i="15"/>
  <c r="U348" i="15"/>
  <c r="U349" i="15"/>
  <c r="U172" i="15"/>
  <c r="U400" i="15"/>
  <c r="U446" i="15"/>
  <c r="U376" i="15"/>
  <c r="U192" i="15"/>
  <c r="U26" i="15"/>
  <c r="U105" i="15"/>
  <c r="U281" i="15"/>
  <c r="U268" i="15"/>
  <c r="U438" i="15"/>
  <c r="U179" i="15"/>
  <c r="U80" i="15"/>
  <c r="U148" i="15"/>
  <c r="U159" i="15"/>
  <c r="U364" i="15"/>
  <c r="U167" i="15"/>
  <c r="U412" i="15"/>
  <c r="U341" i="15"/>
  <c r="U406" i="15"/>
  <c r="U61" i="15"/>
  <c r="U461" i="15"/>
  <c r="U144" i="15"/>
  <c r="U322" i="15"/>
  <c r="U297" i="15"/>
  <c r="U125" i="15"/>
  <c r="U238" i="15"/>
  <c r="U113" i="15"/>
  <c r="U394" i="15"/>
  <c r="U262" i="15"/>
  <c r="U198" i="15"/>
  <c r="U244" i="15"/>
  <c r="U479" i="15"/>
  <c r="U467" i="15"/>
  <c r="U40" i="15"/>
  <c r="U53" i="15"/>
  <c r="U220" i="15"/>
  <c r="U206" i="15"/>
  <c r="U425" i="15"/>
  <c r="U74" i="15"/>
  <c r="U316" i="15"/>
  <c r="U303" i="15"/>
  <c r="U44" i="15"/>
  <c r="U287" i="15"/>
  <c r="U217" i="15"/>
  <c r="U119" i="15"/>
  <c r="U370" i="15"/>
  <c r="U310" i="15"/>
  <c r="U68" i="15"/>
  <c r="U225" i="15"/>
  <c r="U452" i="15"/>
  <c r="U382" i="15"/>
  <c r="U335" i="15"/>
  <c r="U47" i="15"/>
  <c r="U32" i="15"/>
  <c r="U473" i="15"/>
  <c r="U99" i="15"/>
  <c r="U432" i="15"/>
  <c r="U55" i="15"/>
  <c r="U254" i="15"/>
  <c r="U28" i="15"/>
  <c r="U38" i="15"/>
  <c r="U329" i="15"/>
  <c r="U34" i="15"/>
  <c r="U275" i="15"/>
  <c r="U135" i="15"/>
  <c r="U357" i="15"/>
  <c r="U91" i="15"/>
  <c r="U232" i="15"/>
  <c r="U418" i="15"/>
  <c r="U388" i="15"/>
  <c r="U186" i="15"/>
  <c r="U499" i="15"/>
  <c r="U507" i="15"/>
  <c r="U488" i="15"/>
  <c r="U500" i="15"/>
  <c r="U498" i="15"/>
  <c r="U489" i="15"/>
  <c r="U501" i="15"/>
  <c r="U497" i="15"/>
  <c r="U490" i="15"/>
  <c r="U502" i="15"/>
  <c r="U504" i="15"/>
  <c r="U509" i="15"/>
  <c r="U491" i="15"/>
  <c r="U503" i="15"/>
  <c r="U492" i="15"/>
  <c r="U496" i="15"/>
  <c r="U493" i="15"/>
  <c r="U505" i="15"/>
  <c r="U506" i="15"/>
  <c r="U508" i="15"/>
  <c r="U494" i="15"/>
  <c r="U495" i="15"/>
  <c r="U487" i="15"/>
  <c r="U12" i="15"/>
  <c r="I9" i="12"/>
  <c r="B39" i="8"/>
  <c r="B41" i="8" s="1"/>
  <c r="E17" i="16" s="1"/>
  <c r="B74" i="12"/>
  <c r="A6" i="16"/>
  <c r="B20" i="10"/>
  <c r="B22" i="10" s="1"/>
  <c r="E19" i="16" s="1"/>
  <c r="C8" i="15"/>
  <c r="B13" i="7" s="1"/>
  <c r="B8" i="15"/>
  <c r="G4" i="16" l="1"/>
  <c r="B12" i="7"/>
  <c r="B16" i="7"/>
  <c r="B15" i="7"/>
  <c r="J9" i="16" s="1"/>
  <c r="B14" i="7"/>
  <c r="J8" i="16" l="1"/>
  <c r="J10" i="16"/>
  <c r="A4" i="16"/>
  <c r="A71" i="1"/>
  <c r="I193" i="15"/>
  <c r="J193" i="15" s="1"/>
  <c r="K193" i="15" s="1"/>
  <c r="I296" i="15"/>
  <c r="J296" i="15" s="1"/>
  <c r="K296" i="15" s="1"/>
  <c r="I479" i="15"/>
  <c r="J479" i="15" s="1"/>
  <c r="K479" i="15" s="1"/>
  <c r="I478" i="15"/>
  <c r="J478" i="15" s="1"/>
  <c r="K478" i="15" s="1"/>
  <c r="I477" i="15"/>
  <c r="J477" i="15" s="1"/>
  <c r="K477" i="15" s="1"/>
  <c r="I476" i="15"/>
  <c r="J476" i="15" s="1"/>
  <c r="K476" i="15" s="1"/>
  <c r="I475" i="15"/>
  <c r="J475" i="15" s="1"/>
  <c r="K475" i="15" s="1"/>
  <c r="I473" i="15"/>
  <c r="J473" i="15" s="1"/>
  <c r="K473" i="15" s="1"/>
  <c r="I472" i="15"/>
  <c r="J472" i="15" s="1"/>
  <c r="K472" i="15" s="1"/>
  <c r="I471" i="15"/>
  <c r="J471" i="15" s="1"/>
  <c r="K471" i="15" s="1"/>
  <c r="I470" i="15"/>
  <c r="J470" i="15" s="1"/>
  <c r="K470" i="15" s="1"/>
  <c r="I469" i="15"/>
  <c r="J469" i="15" s="1"/>
  <c r="K469" i="15" s="1"/>
  <c r="I467" i="15"/>
  <c r="J467" i="15" s="1"/>
  <c r="K467" i="15" s="1"/>
  <c r="I466" i="15"/>
  <c r="J466" i="15" s="1"/>
  <c r="K466" i="15" s="1"/>
  <c r="I465" i="15"/>
  <c r="J465" i="15" s="1"/>
  <c r="K465" i="15" s="1"/>
  <c r="I460" i="15"/>
  <c r="J460" i="15" s="1"/>
  <c r="K460" i="15" s="1"/>
  <c r="I454" i="15"/>
  <c r="J454" i="15" s="1"/>
  <c r="K454" i="15" s="1"/>
  <c r="I455" i="15"/>
  <c r="J455" i="15" s="1"/>
  <c r="K455" i="15" s="1"/>
  <c r="I451" i="15"/>
  <c r="J451" i="15" s="1"/>
  <c r="K451" i="15" s="1"/>
  <c r="I439" i="15"/>
  <c r="J439" i="15" s="1"/>
  <c r="K439" i="15" s="1"/>
  <c r="I438" i="15"/>
  <c r="J438" i="15" s="1"/>
  <c r="K438" i="15" s="1"/>
  <c r="I436" i="15"/>
  <c r="J436" i="15" s="1"/>
  <c r="K436" i="15" s="1"/>
  <c r="I435" i="15"/>
  <c r="J435" i="15" s="1"/>
  <c r="K435" i="15" s="1"/>
  <c r="I434" i="15"/>
  <c r="J434" i="15" s="1"/>
  <c r="K434" i="15" s="1"/>
  <c r="I433" i="15"/>
  <c r="J433" i="15" s="1"/>
  <c r="K433" i="15" s="1"/>
  <c r="I431" i="15"/>
  <c r="J431" i="15" s="1"/>
  <c r="K431" i="15" s="1"/>
  <c r="I430" i="15"/>
  <c r="J430" i="15" s="1"/>
  <c r="K430" i="15" s="1"/>
  <c r="I429" i="15"/>
  <c r="J429" i="15" s="1"/>
  <c r="K429" i="15" s="1"/>
  <c r="I425" i="15"/>
  <c r="J425" i="15" s="1"/>
  <c r="K425" i="15" s="1"/>
  <c r="I424" i="15"/>
  <c r="J424" i="15" s="1"/>
  <c r="K424" i="15" s="1"/>
  <c r="I423" i="15"/>
  <c r="J423" i="15" s="1"/>
  <c r="K423" i="15" s="1"/>
  <c r="I420" i="15"/>
  <c r="J420" i="15" s="1"/>
  <c r="K420" i="15" s="1"/>
  <c r="I416" i="15"/>
  <c r="J416" i="15" s="1"/>
  <c r="K416" i="15" s="1"/>
  <c r="I411" i="15"/>
  <c r="J411" i="15" s="1"/>
  <c r="K411" i="15" s="1"/>
  <c r="I409" i="15"/>
  <c r="J409" i="15" s="1"/>
  <c r="K409" i="15" s="1"/>
  <c r="I408" i="15"/>
  <c r="J408" i="15" s="1"/>
  <c r="K408" i="15" s="1"/>
  <c r="I403" i="15"/>
  <c r="J403" i="15" s="1"/>
  <c r="K403" i="15" s="1"/>
  <c r="I404" i="15"/>
  <c r="J404" i="15" s="1"/>
  <c r="K404" i="15" s="1"/>
  <c r="I392" i="15"/>
  <c r="J392" i="15" s="1"/>
  <c r="K392" i="15" s="1"/>
  <c r="I391" i="15"/>
  <c r="J391" i="15" s="1"/>
  <c r="K391" i="15" s="1"/>
  <c r="I390" i="15"/>
  <c r="J390" i="15" s="1"/>
  <c r="K390" i="15" s="1"/>
  <c r="I389" i="15"/>
  <c r="J389" i="15" s="1"/>
  <c r="K389" i="15" s="1"/>
  <c r="I388" i="15"/>
  <c r="J388" i="15" s="1"/>
  <c r="K388" i="15" s="1"/>
  <c r="I387" i="15"/>
  <c r="J387" i="15" s="1"/>
  <c r="K387" i="15" s="1"/>
  <c r="I386" i="15"/>
  <c r="J386" i="15" s="1"/>
  <c r="K386" i="15" s="1"/>
  <c r="I385" i="15"/>
  <c r="J385" i="15" s="1"/>
  <c r="K385" i="15" s="1"/>
  <c r="I384" i="15"/>
  <c r="J384" i="15" s="1"/>
  <c r="K384" i="15" s="1"/>
  <c r="I383" i="15"/>
  <c r="J383" i="15" s="1"/>
  <c r="K383" i="15" s="1"/>
  <c r="I381" i="15"/>
  <c r="J381" i="15" s="1"/>
  <c r="K381" i="15" s="1"/>
  <c r="I380" i="15"/>
  <c r="J380" i="15" s="1"/>
  <c r="K380" i="15" s="1"/>
  <c r="I379" i="15"/>
  <c r="J379" i="15" s="1"/>
  <c r="K379" i="15" s="1"/>
  <c r="I378" i="15"/>
  <c r="J378" i="15" s="1"/>
  <c r="K378" i="15" s="1"/>
  <c r="I377" i="15"/>
  <c r="J377" i="15" s="1"/>
  <c r="K377" i="15" s="1"/>
  <c r="I376" i="15"/>
  <c r="J376" i="15" s="1"/>
  <c r="K376" i="15" s="1"/>
  <c r="I375" i="15"/>
  <c r="J375" i="15" s="1"/>
  <c r="K375" i="15" s="1"/>
  <c r="I374" i="15"/>
  <c r="J374" i="15" s="1"/>
  <c r="K374" i="15" s="1"/>
  <c r="I373" i="15"/>
  <c r="J373" i="15" s="1"/>
  <c r="K373" i="15" s="1"/>
  <c r="I364" i="15"/>
  <c r="J364" i="15" s="1"/>
  <c r="K364" i="15" s="1"/>
  <c r="I363" i="15"/>
  <c r="J363" i="15" s="1"/>
  <c r="K363" i="15" s="1"/>
  <c r="I362" i="15"/>
  <c r="J362" i="15" s="1"/>
  <c r="K362" i="15" s="1"/>
  <c r="I368" i="15"/>
  <c r="J368" i="15" s="1"/>
  <c r="K368" i="15" s="1"/>
  <c r="I367" i="15"/>
  <c r="J367" i="15" s="1"/>
  <c r="K367" i="15" s="1"/>
  <c r="I366" i="15"/>
  <c r="J366" i="15" s="1"/>
  <c r="K366" i="15" s="1"/>
  <c r="I361" i="15"/>
  <c r="J361" i="15" s="1"/>
  <c r="K361" i="15" s="1"/>
  <c r="I360" i="15"/>
  <c r="J360" i="15" s="1"/>
  <c r="K360" i="15" s="1"/>
  <c r="I357" i="15"/>
  <c r="J357" i="15" s="1"/>
  <c r="K357" i="15" s="1"/>
  <c r="I356" i="15"/>
  <c r="J356" i="15" s="1"/>
  <c r="K356" i="15" s="1"/>
  <c r="I355" i="15"/>
  <c r="J355" i="15" s="1"/>
  <c r="K355" i="15" s="1"/>
  <c r="I372" i="15"/>
  <c r="J372" i="15" s="1"/>
  <c r="K372" i="15" s="1"/>
  <c r="I353" i="15"/>
  <c r="J353" i="15" s="1"/>
  <c r="K353" i="15" s="1"/>
  <c r="I371" i="15"/>
  <c r="J371" i="15" s="1"/>
  <c r="K371" i="15" s="1"/>
  <c r="I352" i="15"/>
  <c r="J352" i="15" s="1"/>
  <c r="K352" i="15" s="1"/>
  <c r="I370" i="15"/>
  <c r="J370" i="15" s="1"/>
  <c r="K370" i="15" s="1"/>
  <c r="I354" i="15"/>
  <c r="J354" i="15" s="1"/>
  <c r="K354" i="15" s="1"/>
  <c r="I347" i="15"/>
  <c r="J347" i="15" s="1"/>
  <c r="K347" i="15" s="1"/>
  <c r="I344" i="15"/>
  <c r="J344" i="15" s="1"/>
  <c r="K344" i="15" s="1"/>
  <c r="I343" i="15"/>
  <c r="J343" i="15" s="1"/>
  <c r="K343" i="15" s="1"/>
  <c r="I345" i="15"/>
  <c r="J345" i="15" s="1"/>
  <c r="K345" i="15" s="1"/>
  <c r="I342" i="15"/>
  <c r="J342" i="15" s="1"/>
  <c r="K342" i="15" s="1"/>
  <c r="I341" i="15"/>
  <c r="J341" i="15" s="1"/>
  <c r="K341" i="15" s="1"/>
  <c r="I340" i="15"/>
  <c r="J340" i="15" s="1"/>
  <c r="K340" i="15" s="1"/>
  <c r="I339" i="15"/>
  <c r="J339" i="15" s="1"/>
  <c r="K339" i="15" s="1"/>
  <c r="I335" i="15"/>
  <c r="J335" i="15" s="1"/>
  <c r="K335" i="15" s="1"/>
  <c r="I338" i="15"/>
  <c r="J338" i="15" s="1"/>
  <c r="K338" i="15" s="1"/>
  <c r="I337" i="15"/>
  <c r="J337" i="15" s="1"/>
  <c r="K337" i="15" s="1"/>
  <c r="I336" i="15"/>
  <c r="J336" i="15" s="1"/>
  <c r="K336" i="15" s="1"/>
  <c r="I330" i="15"/>
  <c r="J330" i="15" s="1"/>
  <c r="K330" i="15" s="1"/>
  <c r="I326" i="15"/>
  <c r="J326" i="15" s="1"/>
  <c r="K326" i="15" s="1"/>
  <c r="I324" i="15"/>
  <c r="J324" i="15" s="1"/>
  <c r="K324" i="15" s="1"/>
  <c r="I322" i="15"/>
  <c r="J322" i="15" s="1"/>
  <c r="K322" i="15" s="1"/>
  <c r="I321" i="15"/>
  <c r="J321" i="15" s="1"/>
  <c r="K321" i="15" s="1"/>
  <c r="I314" i="15"/>
  <c r="J314" i="15" s="1"/>
  <c r="K314" i="15" s="1"/>
  <c r="I311" i="15"/>
  <c r="J311" i="15" s="1"/>
  <c r="K311" i="15" s="1"/>
  <c r="I313" i="15"/>
  <c r="J313" i="15" s="1"/>
  <c r="K313" i="15" s="1"/>
  <c r="I312" i="15"/>
  <c r="J312" i="15" s="1"/>
  <c r="K312" i="15" s="1"/>
  <c r="I310" i="15"/>
  <c r="J310" i="15" s="1"/>
  <c r="K310" i="15" s="1"/>
  <c r="I308" i="15"/>
  <c r="J308" i="15" s="1"/>
  <c r="K308" i="15" s="1"/>
  <c r="I307" i="15"/>
  <c r="J307" i="15" s="1"/>
  <c r="K307" i="15" s="1"/>
  <c r="I305" i="15"/>
  <c r="J305" i="15" s="1"/>
  <c r="K305" i="15" s="1"/>
  <c r="I303" i="15"/>
  <c r="J303" i="15" s="1"/>
  <c r="K303" i="15" s="1"/>
  <c r="I300" i="15"/>
  <c r="J300" i="15" s="1"/>
  <c r="K300" i="15" s="1"/>
  <c r="I298" i="15"/>
  <c r="J298" i="15" s="1"/>
  <c r="K298" i="15" s="1"/>
  <c r="I299" i="15"/>
  <c r="J299" i="15" s="1"/>
  <c r="K299" i="15" s="1"/>
  <c r="I297" i="15"/>
  <c r="J297" i="15" s="1"/>
  <c r="K297" i="15" s="1"/>
  <c r="I294" i="15"/>
  <c r="J294" i="15" s="1"/>
  <c r="K294" i="15" s="1"/>
  <c r="I288" i="15"/>
  <c r="J288" i="15" s="1"/>
  <c r="K288" i="15" s="1"/>
  <c r="I287" i="15"/>
  <c r="J287" i="15" s="1"/>
  <c r="K287" i="15" s="1"/>
  <c r="I286" i="15"/>
  <c r="J286" i="15" s="1"/>
  <c r="K286" i="15" s="1"/>
  <c r="I284" i="15"/>
  <c r="J284" i="15" s="1"/>
  <c r="K284" i="15" s="1"/>
  <c r="I279" i="15"/>
  <c r="J279" i="15" s="1"/>
  <c r="K279" i="15" s="1"/>
  <c r="I278" i="15"/>
  <c r="J278" i="15" s="1"/>
  <c r="K278" i="15" s="1"/>
  <c r="I277" i="15"/>
  <c r="J277" i="15" s="1"/>
  <c r="K277" i="15" s="1"/>
  <c r="I276" i="15"/>
  <c r="J276" i="15" s="1"/>
  <c r="K276" i="15" s="1"/>
  <c r="I274" i="15"/>
  <c r="J274" i="15" s="1"/>
  <c r="K274" i="15" s="1"/>
  <c r="I275" i="15"/>
  <c r="J275" i="15" s="1"/>
  <c r="K275" i="15" s="1"/>
  <c r="I267" i="15"/>
  <c r="J267" i="15" s="1"/>
  <c r="K267" i="15" s="1"/>
  <c r="I257" i="15"/>
  <c r="J257" i="15" s="1"/>
  <c r="K257" i="15" s="1"/>
  <c r="I250" i="15"/>
  <c r="J250" i="15" s="1"/>
  <c r="K250" i="15" s="1"/>
  <c r="I248" i="15"/>
  <c r="J248" i="15" s="1"/>
  <c r="K248" i="15" s="1"/>
  <c r="I247" i="15"/>
  <c r="J247" i="15" s="1"/>
  <c r="K247" i="15" s="1"/>
  <c r="I246" i="15"/>
  <c r="J246" i="15" s="1"/>
  <c r="K246" i="15" s="1"/>
  <c r="I242" i="15"/>
  <c r="J242" i="15" s="1"/>
  <c r="K242" i="15" s="1"/>
  <c r="I241" i="15"/>
  <c r="J241" i="15" s="1"/>
  <c r="K241" i="15" s="1"/>
  <c r="I237" i="15"/>
  <c r="J237" i="15" s="1"/>
  <c r="K237" i="15" s="1"/>
  <c r="I236" i="15"/>
  <c r="J236" i="15" s="1"/>
  <c r="K236" i="15" s="1"/>
  <c r="I235" i="15"/>
  <c r="J235" i="15" s="1"/>
  <c r="K235" i="15" s="1"/>
  <c r="I233" i="15"/>
  <c r="J233" i="15" s="1"/>
  <c r="K233" i="15" s="1"/>
  <c r="I225" i="15"/>
  <c r="J225" i="15" s="1"/>
  <c r="K225" i="15" s="1"/>
  <c r="I224" i="15"/>
  <c r="J224" i="15" s="1"/>
  <c r="K224" i="15" s="1"/>
  <c r="I205" i="15"/>
  <c r="J205" i="15" s="1"/>
  <c r="K205" i="15" s="1"/>
  <c r="I217" i="15"/>
  <c r="J217" i="15" s="1"/>
  <c r="K217" i="15" s="1"/>
  <c r="I223" i="15"/>
  <c r="J223" i="15" s="1"/>
  <c r="K223" i="15" s="1"/>
  <c r="I204" i="15"/>
  <c r="J204" i="15" s="1"/>
  <c r="K204" i="15" s="1"/>
  <c r="I216" i="15"/>
  <c r="J216" i="15" s="1"/>
  <c r="K216" i="15" s="1"/>
  <c r="I192" i="15"/>
  <c r="J192" i="15" s="1"/>
  <c r="K192" i="15" s="1"/>
  <c r="I222" i="15"/>
  <c r="J222" i="15" s="1"/>
  <c r="K222" i="15" s="1"/>
  <c r="I203" i="15"/>
  <c r="J203" i="15" s="1"/>
  <c r="K203" i="15" s="1"/>
  <c r="I215" i="15"/>
  <c r="J215" i="15" s="1"/>
  <c r="K215" i="15" s="1"/>
  <c r="I196" i="15"/>
  <c r="J196" i="15" s="1"/>
  <c r="K196" i="15" s="1"/>
  <c r="I199" i="15"/>
  <c r="J199" i="15" s="1"/>
  <c r="K199" i="15" s="1"/>
  <c r="I195" i="15"/>
  <c r="J195" i="15" s="1"/>
  <c r="K195" i="15" s="1"/>
  <c r="I194" i="15"/>
  <c r="J194" i="15" s="1"/>
  <c r="K194" i="15" s="1"/>
  <c r="I198" i="15"/>
  <c r="J198" i="15" s="1"/>
  <c r="K198" i="15" s="1"/>
  <c r="I197" i="15"/>
  <c r="J197" i="15" s="1"/>
  <c r="K197" i="15" s="1"/>
  <c r="I202" i="15"/>
  <c r="J202" i="15" s="1"/>
  <c r="K202" i="15" s="1"/>
  <c r="I228" i="15"/>
  <c r="J228" i="15" s="1"/>
  <c r="K228" i="15" s="1"/>
  <c r="I227" i="15"/>
  <c r="J227" i="15" s="1"/>
  <c r="K227" i="15" s="1"/>
  <c r="I191" i="15"/>
  <c r="J191" i="15" s="1"/>
  <c r="K191" i="15" s="1"/>
  <c r="I214" i="15"/>
  <c r="J214" i="15" s="1"/>
  <c r="K214" i="15" s="1"/>
  <c r="I211" i="15"/>
  <c r="J211" i="15" s="1"/>
  <c r="K211" i="15" s="1"/>
  <c r="I213" i="15"/>
  <c r="J213" i="15" s="1"/>
  <c r="K213" i="15" s="1"/>
  <c r="I186" i="15"/>
  <c r="J186" i="15" s="1"/>
  <c r="K186" i="15" s="1"/>
  <c r="I167" i="15"/>
  <c r="J167" i="15" s="1"/>
  <c r="K167" i="15" s="1"/>
  <c r="I166" i="15"/>
  <c r="J166" i="15" s="1"/>
  <c r="K166" i="15" s="1"/>
  <c r="I165" i="15"/>
  <c r="J165" i="15" s="1"/>
  <c r="K165" i="15" s="1"/>
  <c r="I164" i="15"/>
  <c r="J164" i="15" s="1"/>
  <c r="K164" i="15" s="1"/>
  <c r="I163" i="15"/>
  <c r="J163" i="15" s="1"/>
  <c r="K163" i="15" s="1"/>
  <c r="I162" i="15"/>
  <c r="J162" i="15" s="1"/>
  <c r="K162" i="15" s="1"/>
  <c r="I161" i="15"/>
  <c r="J161" i="15" s="1"/>
  <c r="K161" i="15" s="1"/>
  <c r="I160" i="15"/>
  <c r="J160" i="15" s="1"/>
  <c r="K160" i="15" s="1"/>
  <c r="I159" i="15"/>
  <c r="J159" i="15" s="1"/>
  <c r="K159" i="15" s="1"/>
  <c r="I158" i="15"/>
  <c r="J158" i="15" s="1"/>
  <c r="K158" i="15" s="1"/>
  <c r="I154" i="15"/>
  <c r="J154" i="15" s="1"/>
  <c r="K154" i="15" s="1"/>
  <c r="I136" i="15"/>
  <c r="J136" i="15" s="1"/>
  <c r="K136" i="15" s="1"/>
  <c r="I132" i="15"/>
  <c r="J132" i="15" s="1"/>
  <c r="K132" i="15" s="1"/>
  <c r="I127" i="15"/>
  <c r="J127" i="15" s="1"/>
  <c r="K127" i="15" s="1"/>
  <c r="I126" i="15"/>
  <c r="J126" i="15" s="1"/>
  <c r="K126" i="15" s="1"/>
  <c r="I122" i="15"/>
  <c r="J122" i="15" s="1"/>
  <c r="K122" i="15" s="1"/>
  <c r="I121" i="15"/>
  <c r="J121" i="15" s="1"/>
  <c r="K121" i="15" s="1"/>
  <c r="I120" i="15"/>
  <c r="J120" i="15" s="1"/>
  <c r="K120" i="15" s="1"/>
  <c r="I119" i="15"/>
  <c r="J119" i="15" s="1"/>
  <c r="K119" i="15" s="1"/>
  <c r="I118" i="15"/>
  <c r="J118" i="15" s="1"/>
  <c r="K118" i="15" s="1"/>
  <c r="I117" i="15"/>
  <c r="J117" i="15" s="1"/>
  <c r="K117" i="15" s="1"/>
  <c r="I110" i="15"/>
  <c r="J110" i="15" s="1"/>
  <c r="K110" i="15" s="1"/>
  <c r="I108" i="15"/>
  <c r="J108" i="15" s="1"/>
  <c r="K108" i="15" s="1"/>
  <c r="I97" i="15"/>
  <c r="J97" i="15" s="1"/>
  <c r="K97" i="15" s="1"/>
  <c r="I82" i="15"/>
  <c r="J82" i="15" s="1"/>
  <c r="K82" i="15" s="1"/>
  <c r="I81" i="15"/>
  <c r="J81" i="15" s="1"/>
  <c r="K81" i="15" s="1"/>
  <c r="I80" i="15"/>
  <c r="J80" i="15" s="1"/>
  <c r="K80" i="15" s="1"/>
  <c r="I79" i="15"/>
  <c r="J79" i="15" s="1"/>
  <c r="K79" i="15" s="1"/>
  <c r="I78" i="15"/>
  <c r="J78" i="15" s="1"/>
  <c r="K78" i="15" s="1"/>
  <c r="I90" i="15"/>
  <c r="J90" i="15" s="1"/>
  <c r="K90" i="15" s="1"/>
  <c r="I89" i="15"/>
  <c r="J89" i="15" s="1"/>
  <c r="K89" i="15" s="1"/>
  <c r="I77" i="15"/>
  <c r="J77" i="15" s="1"/>
  <c r="K77" i="15" s="1"/>
  <c r="I75" i="15"/>
  <c r="J75" i="15" s="1"/>
  <c r="K75" i="15" s="1"/>
  <c r="I74" i="15"/>
  <c r="J74" i="15" s="1"/>
  <c r="K74" i="15" s="1"/>
  <c r="I72" i="15"/>
  <c r="J72" i="15" s="1"/>
  <c r="K72" i="15" s="1"/>
  <c r="I67" i="15"/>
  <c r="J67" i="15" s="1"/>
  <c r="K67" i="15" s="1"/>
  <c r="I66" i="15"/>
  <c r="J66" i="15" s="1"/>
  <c r="K66" i="15" s="1"/>
  <c r="I65" i="15"/>
  <c r="J65" i="15" s="1"/>
  <c r="K65" i="15" s="1"/>
  <c r="I63" i="15"/>
  <c r="J63" i="15" s="1"/>
  <c r="K63" i="15" s="1"/>
  <c r="I62" i="15"/>
  <c r="J62" i="15" s="1"/>
  <c r="K62" i="15" s="1"/>
  <c r="I61" i="15"/>
  <c r="J61" i="15" s="1"/>
  <c r="K61" i="15" s="1"/>
  <c r="I60" i="15"/>
  <c r="J60" i="15" s="1"/>
  <c r="K60" i="15" s="1"/>
  <c r="I59" i="15"/>
  <c r="J59" i="15" s="1"/>
  <c r="K59" i="15" s="1"/>
  <c r="I55" i="15"/>
  <c r="J55" i="15" s="1"/>
  <c r="K55" i="15" s="1"/>
  <c r="I51" i="15"/>
  <c r="J51" i="15" s="1"/>
  <c r="K51" i="15" s="1"/>
  <c r="I47" i="15"/>
  <c r="J47" i="15" s="1"/>
  <c r="K47" i="15" s="1"/>
  <c r="I44" i="15"/>
  <c r="J44" i="15" s="1"/>
  <c r="K44" i="15" s="1"/>
  <c r="I43" i="15"/>
  <c r="J43" i="15" s="1"/>
  <c r="K43" i="15" s="1"/>
  <c r="I42" i="15"/>
  <c r="J42" i="15" s="1"/>
  <c r="K42" i="15" s="1"/>
  <c r="I41" i="15"/>
  <c r="J41" i="15" s="1"/>
  <c r="K41" i="15" s="1"/>
  <c r="I40" i="15"/>
  <c r="J40" i="15" s="1"/>
  <c r="K40" i="15" s="1"/>
  <c r="I39" i="15"/>
  <c r="J39" i="15" s="1"/>
  <c r="K39" i="15" s="1"/>
  <c r="I38" i="15"/>
  <c r="J38" i="15" s="1"/>
  <c r="K38" i="15" s="1"/>
  <c r="I37" i="15"/>
  <c r="J37" i="15" s="1"/>
  <c r="K37" i="15" s="1"/>
  <c r="I36" i="15"/>
  <c r="J36" i="15" s="1"/>
  <c r="K36" i="15" s="1"/>
  <c r="I35" i="15"/>
  <c r="J35" i="15" s="1"/>
  <c r="K35" i="15" s="1"/>
  <c r="I34" i="15"/>
  <c r="J34" i="15" s="1"/>
  <c r="K34" i="15" s="1"/>
  <c r="I32" i="15"/>
  <c r="J32" i="15" s="1"/>
  <c r="K32" i="15" s="1"/>
  <c r="I31" i="15"/>
  <c r="J31" i="15" s="1"/>
  <c r="K31" i="15" s="1"/>
  <c r="I30" i="15"/>
  <c r="J30" i="15" s="1"/>
  <c r="K30" i="15" s="1"/>
  <c r="I29" i="15"/>
  <c r="J29" i="15" s="1"/>
  <c r="K29" i="15" s="1"/>
  <c r="I28" i="15"/>
  <c r="J28" i="15" s="1"/>
  <c r="K28" i="15" s="1"/>
  <c r="I27" i="15"/>
  <c r="J27" i="15" s="1"/>
  <c r="K27" i="15" s="1"/>
  <c r="I22" i="15"/>
  <c r="J22" i="15" s="1"/>
  <c r="K22" i="15" s="1"/>
  <c r="I17" i="15"/>
  <c r="J17" i="15" s="1"/>
  <c r="K17" i="15" s="1"/>
  <c r="I16" i="15"/>
  <c r="J16" i="15" s="1"/>
  <c r="K16" i="15" s="1"/>
  <c r="I15" i="15"/>
  <c r="J15" i="15" s="1"/>
  <c r="K15" i="15" s="1"/>
  <c r="I14" i="15"/>
  <c r="I481" i="15"/>
  <c r="J481" i="15" s="1"/>
  <c r="K481" i="15" s="1"/>
  <c r="N363" i="15" l="1"/>
  <c r="O363" i="15" s="1"/>
  <c r="N313" i="15"/>
  <c r="O313" i="15" s="1"/>
  <c r="N298" i="15"/>
  <c r="O298" i="15" s="1"/>
  <c r="N119" i="15"/>
  <c r="O119" i="15" s="1"/>
  <c r="N211" i="15"/>
  <c r="O211" i="15" s="1"/>
  <c r="N194" i="15"/>
  <c r="O194" i="15" s="1"/>
  <c r="N216" i="15"/>
  <c r="O216" i="15" s="1"/>
  <c r="N40" i="15"/>
  <c r="O40" i="15" s="1"/>
  <c r="N108" i="15"/>
  <c r="O108" i="15" s="1"/>
  <c r="N126" i="15"/>
  <c r="O126" i="15" s="1"/>
  <c r="N228" i="15"/>
  <c r="O228" i="15" s="1"/>
  <c r="N215" i="15"/>
  <c r="O215" i="15" s="1"/>
  <c r="N205" i="15"/>
  <c r="O205" i="15" s="1"/>
  <c r="N366" i="15"/>
  <c r="O366" i="15" s="1"/>
  <c r="N392" i="15"/>
  <c r="O392" i="15" s="1"/>
  <c r="N288" i="15"/>
  <c r="O288" i="15" s="1"/>
  <c r="N322" i="15"/>
  <c r="O322" i="15" s="1"/>
  <c r="N120" i="15"/>
  <c r="O120" i="15" s="1"/>
  <c r="N311" i="15"/>
  <c r="O311" i="15" s="1"/>
  <c r="N353" i="15"/>
  <c r="O353" i="15" s="1"/>
  <c r="N476" i="15"/>
  <c r="O476" i="15" s="1"/>
  <c r="N163" i="15"/>
  <c r="O163" i="15" s="1"/>
  <c r="N214" i="15"/>
  <c r="O214" i="15" s="1"/>
  <c r="N195" i="15"/>
  <c r="O195" i="15" s="1"/>
  <c r="N204" i="15"/>
  <c r="O204" i="15" s="1"/>
  <c r="N300" i="15"/>
  <c r="O300" i="15" s="1"/>
  <c r="N345" i="15"/>
  <c r="O345" i="15" s="1"/>
  <c r="I8" i="15"/>
  <c r="N160" i="15"/>
  <c r="O160" i="15" s="1"/>
  <c r="N197" i="15"/>
  <c r="O197" i="15" s="1"/>
  <c r="N222" i="15"/>
  <c r="O222" i="15" s="1"/>
  <c r="N310" i="15"/>
  <c r="O310" i="15" s="1"/>
  <c r="N340" i="15"/>
  <c r="O340" i="15" s="1"/>
  <c r="N370" i="15"/>
  <c r="O370" i="15" s="1"/>
  <c r="N118" i="15"/>
  <c r="O118" i="15" s="1"/>
  <c r="N213" i="15"/>
  <c r="O213" i="15" s="1"/>
  <c r="N198" i="15"/>
  <c r="O198" i="15" s="1"/>
  <c r="N192" i="15"/>
  <c r="O192" i="15" s="1"/>
  <c r="N312" i="15"/>
  <c r="O312" i="15" s="1"/>
  <c r="N341" i="15"/>
  <c r="O341" i="15" s="1"/>
  <c r="N352" i="15"/>
  <c r="O352" i="15" s="1"/>
  <c r="N420" i="15"/>
  <c r="O420" i="15" s="1"/>
  <c r="N29" i="15"/>
  <c r="O29" i="15" s="1"/>
  <c r="N35" i="15"/>
  <c r="O35" i="15" s="1"/>
  <c r="N43" i="15"/>
  <c r="O43" i="15" s="1"/>
  <c r="N62" i="15"/>
  <c r="O62" i="15" s="1"/>
  <c r="N122" i="15"/>
  <c r="O122" i="15" s="1"/>
  <c r="N165" i="15"/>
  <c r="O165" i="15" s="1"/>
  <c r="N227" i="15"/>
  <c r="O227" i="15" s="1"/>
  <c r="N196" i="15"/>
  <c r="O196" i="15" s="1"/>
  <c r="N217" i="15"/>
  <c r="O217" i="15" s="1"/>
  <c r="N241" i="15"/>
  <c r="O241" i="15" s="1"/>
  <c r="N321" i="15"/>
  <c r="O321" i="15" s="1"/>
  <c r="N296" i="15"/>
  <c r="O296" i="15" s="1"/>
  <c r="N191" i="15"/>
  <c r="O191" i="15" s="1"/>
  <c r="N199" i="15"/>
  <c r="O199" i="15" s="1"/>
  <c r="N223" i="15"/>
  <c r="O223" i="15" s="1"/>
  <c r="N303" i="15"/>
  <c r="O303" i="15" s="1"/>
  <c r="N314" i="15"/>
  <c r="O314" i="15" s="1"/>
  <c r="N343" i="15"/>
  <c r="O343" i="15" s="1"/>
  <c r="N121" i="15"/>
  <c r="O121" i="15" s="1"/>
  <c r="N164" i="15"/>
  <c r="O164" i="15" s="1"/>
  <c r="M8" i="15"/>
  <c r="J14" i="15"/>
  <c r="K14" i="15" s="1"/>
  <c r="N36" i="15"/>
  <c r="O36" i="15" s="1"/>
  <c r="N37" i="15"/>
  <c r="O37" i="15" s="1"/>
  <c r="N90" i="15"/>
  <c r="O90" i="15" s="1"/>
  <c r="N127" i="15"/>
  <c r="O127" i="15" s="1"/>
  <c r="N167" i="15"/>
  <c r="O167" i="15" s="1"/>
  <c r="N202" i="15"/>
  <c r="O202" i="15" s="1"/>
  <c r="N203" i="15"/>
  <c r="O203" i="15" s="1"/>
  <c r="N224" i="15"/>
  <c r="O224" i="15" s="1"/>
  <c r="N308" i="15"/>
  <c r="O308" i="15" s="1"/>
  <c r="N354" i="15"/>
  <c r="O354" i="15" s="1"/>
  <c r="N364" i="15"/>
  <c r="O364" i="15" s="1"/>
  <c r="N431" i="15"/>
  <c r="O431" i="15" s="1"/>
  <c r="N455" i="15"/>
  <c r="O455" i="15" s="1"/>
  <c r="N193" i="15"/>
  <c r="O193" i="15" s="1"/>
  <c r="N371" i="15"/>
  <c r="O371" i="15" s="1"/>
  <c r="N372" i="15"/>
  <c r="O372" i="15" s="1"/>
  <c r="N368" i="15"/>
  <c r="O368" i="15" s="1"/>
  <c r="N403" i="15"/>
  <c r="O403" i="15" s="1"/>
  <c r="O416" i="15"/>
  <c r="N451" i="15"/>
  <c r="O451" i="15" s="1"/>
  <c r="N470" i="15"/>
  <c r="O470" i="15" s="1"/>
  <c r="N362" i="15"/>
  <c r="O362" i="15" s="1"/>
  <c r="N387" i="15"/>
  <c r="O387" i="15" s="1"/>
  <c r="N80" i="15"/>
  <c r="O80" i="15" s="1"/>
  <c r="N79" i="15"/>
  <c r="O79" i="15" s="1"/>
  <c r="N248" i="15"/>
  <c r="O248" i="15" s="1"/>
  <c r="N16" i="15"/>
  <c r="O16" i="15" s="1"/>
  <c r="N15" i="15"/>
  <c r="O15" i="15" s="1"/>
  <c r="N481" i="15"/>
  <c r="O481" i="15" s="1"/>
  <c r="N479" i="15"/>
  <c r="O479" i="15" s="1"/>
  <c r="N478" i="15"/>
  <c r="O478" i="15" s="1"/>
  <c r="N477" i="15"/>
  <c r="O477" i="15" s="1"/>
  <c r="N475" i="15"/>
  <c r="O475" i="15" s="1"/>
  <c r="N473" i="15"/>
  <c r="O473" i="15" s="1"/>
  <c r="N472" i="15"/>
  <c r="O472" i="15" s="1"/>
  <c r="N471" i="15"/>
  <c r="O471" i="15" s="1"/>
  <c r="N469" i="15"/>
  <c r="O469" i="15" s="1"/>
  <c r="N467" i="15"/>
  <c r="N466" i="15"/>
  <c r="O466" i="15" s="1"/>
  <c r="N465" i="15"/>
  <c r="N460" i="15"/>
  <c r="O460" i="15" s="1"/>
  <c r="N454" i="15"/>
  <c r="O454" i="15" s="1"/>
  <c r="N439" i="15"/>
  <c r="O439" i="15" s="1"/>
  <c r="N438" i="15"/>
  <c r="O438" i="15" s="1"/>
  <c r="N436" i="15"/>
  <c r="O436" i="15" s="1"/>
  <c r="N435" i="15"/>
  <c r="O435" i="15" s="1"/>
  <c r="N434" i="15"/>
  <c r="O434" i="15" s="1"/>
  <c r="N433" i="15"/>
  <c r="O433" i="15" s="1"/>
  <c r="N430" i="15"/>
  <c r="O430" i="15" s="1"/>
  <c r="N429" i="15"/>
  <c r="O429" i="15" s="1"/>
  <c r="N425" i="15"/>
  <c r="O425" i="15" s="1"/>
  <c r="N424" i="15"/>
  <c r="O424" i="15" s="1"/>
  <c r="N423" i="15"/>
  <c r="N411" i="15"/>
  <c r="O411" i="15" s="1"/>
  <c r="N409" i="15"/>
  <c r="O409" i="15" s="1"/>
  <c r="N408" i="15"/>
  <c r="O408" i="15" s="1"/>
  <c r="N404" i="15"/>
  <c r="O404" i="15" s="1"/>
  <c r="N391" i="15"/>
  <c r="O391" i="15" s="1"/>
  <c r="N390" i="15"/>
  <c r="O390" i="15" s="1"/>
  <c r="N389" i="15"/>
  <c r="O389" i="15" s="1"/>
  <c r="N388" i="15"/>
  <c r="O388" i="15" s="1"/>
  <c r="N386" i="15"/>
  <c r="O386" i="15" s="1"/>
  <c r="N385" i="15"/>
  <c r="O385" i="15" s="1"/>
  <c r="N384" i="15"/>
  <c r="O384" i="15" s="1"/>
  <c r="N383" i="15"/>
  <c r="O383" i="15" s="1"/>
  <c r="N381" i="15"/>
  <c r="O381" i="15" s="1"/>
  <c r="N380" i="15"/>
  <c r="O380" i="15" s="1"/>
  <c r="N379" i="15"/>
  <c r="O379" i="15" s="1"/>
  <c r="N378" i="15"/>
  <c r="O378" i="15" s="1"/>
  <c r="N377" i="15"/>
  <c r="O377" i="15" s="1"/>
  <c r="N376" i="15"/>
  <c r="O376" i="15" s="1"/>
  <c r="N375" i="15"/>
  <c r="O375" i="15" s="1"/>
  <c r="N374" i="15"/>
  <c r="O374" i="15" s="1"/>
  <c r="N373" i="15"/>
  <c r="O373" i="15" s="1"/>
  <c r="N367" i="15"/>
  <c r="O367" i="15" s="1"/>
  <c r="N361" i="15"/>
  <c r="O361" i="15" s="1"/>
  <c r="N360" i="15"/>
  <c r="O360" i="15" s="1"/>
  <c r="N357" i="15"/>
  <c r="O357" i="15" s="1"/>
  <c r="N356" i="15"/>
  <c r="O356" i="15" s="1"/>
  <c r="N355" i="15"/>
  <c r="O355" i="15" s="1"/>
  <c r="N347" i="15"/>
  <c r="O347" i="15" s="1"/>
  <c r="N344" i="15"/>
  <c r="O344" i="15" s="1"/>
  <c r="N342" i="15"/>
  <c r="O342" i="15" s="1"/>
  <c r="N339" i="15"/>
  <c r="O339" i="15" s="1"/>
  <c r="N335" i="15"/>
  <c r="O335" i="15" s="1"/>
  <c r="N338" i="15"/>
  <c r="O338" i="15" s="1"/>
  <c r="N337" i="15"/>
  <c r="O337" i="15" s="1"/>
  <c r="N336" i="15"/>
  <c r="O336" i="15" s="1"/>
  <c r="N330" i="15"/>
  <c r="O330" i="15" s="1"/>
  <c r="N326" i="15"/>
  <c r="O326" i="15" s="1"/>
  <c r="N324" i="15"/>
  <c r="O324" i="15" s="1"/>
  <c r="N307" i="15"/>
  <c r="O307" i="15" s="1"/>
  <c r="N305" i="15"/>
  <c r="O305" i="15" s="1"/>
  <c r="N299" i="15"/>
  <c r="O299" i="15" s="1"/>
  <c r="N297" i="15"/>
  <c r="O297" i="15" s="1"/>
  <c r="N294" i="15"/>
  <c r="O294" i="15" s="1"/>
  <c r="N287" i="15"/>
  <c r="O287" i="15" s="1"/>
  <c r="N286" i="15"/>
  <c r="O286" i="15" s="1"/>
  <c r="N284" i="15"/>
  <c r="O284" i="15" s="1"/>
  <c r="N279" i="15"/>
  <c r="O279" i="15" s="1"/>
  <c r="N278" i="15"/>
  <c r="O278" i="15" s="1"/>
  <c r="N277" i="15"/>
  <c r="O277" i="15" s="1"/>
  <c r="N276" i="15"/>
  <c r="O276" i="15" s="1"/>
  <c r="N274" i="15"/>
  <c r="O274" i="15" s="1"/>
  <c r="N275" i="15"/>
  <c r="O275" i="15" s="1"/>
  <c r="N267" i="15"/>
  <c r="O267" i="15" s="1"/>
  <c r="N257" i="15"/>
  <c r="O257" i="15" s="1"/>
  <c r="N250" i="15"/>
  <c r="O250" i="15" s="1"/>
  <c r="N246" i="15"/>
  <c r="O246" i="15" s="1"/>
  <c r="N242" i="15"/>
  <c r="O242" i="15" s="1"/>
  <c r="N237" i="15"/>
  <c r="O237" i="15" s="1"/>
  <c r="N236" i="15"/>
  <c r="O236" i="15" s="1"/>
  <c r="N235" i="15"/>
  <c r="O235" i="15" s="1"/>
  <c r="N233" i="15"/>
  <c r="O233" i="15" s="1"/>
  <c r="N225" i="15"/>
  <c r="O225" i="15" s="1"/>
  <c r="N186" i="15"/>
  <c r="O186" i="15" s="1"/>
  <c r="N166" i="15"/>
  <c r="O166" i="15" s="1"/>
  <c r="N162" i="15"/>
  <c r="O162" i="15" s="1"/>
  <c r="N161" i="15"/>
  <c r="O161" i="15" s="1"/>
  <c r="N159" i="15"/>
  <c r="O159" i="15" s="1"/>
  <c r="N158" i="15"/>
  <c r="O158" i="15" s="1"/>
  <c r="N154" i="15"/>
  <c r="O154" i="15" s="1"/>
  <c r="N136" i="15"/>
  <c r="O136" i="15" s="1"/>
  <c r="N132" i="15"/>
  <c r="O132" i="15" s="1"/>
  <c r="N117" i="15"/>
  <c r="O117" i="15" s="1"/>
  <c r="N110" i="15"/>
  <c r="O110" i="15" s="1"/>
  <c r="N97" i="15"/>
  <c r="O97" i="15" s="1"/>
  <c r="N82" i="15"/>
  <c r="O82" i="15" s="1"/>
  <c r="N81" i="15"/>
  <c r="O81" i="15" s="1"/>
  <c r="N78" i="15"/>
  <c r="O78" i="15" s="1"/>
  <c r="N89" i="15"/>
  <c r="O89" i="15" s="1"/>
  <c r="N77" i="15"/>
  <c r="O77" i="15" s="1"/>
  <c r="N75" i="15"/>
  <c r="O75" i="15" s="1"/>
  <c r="N74" i="15"/>
  <c r="O74" i="15" s="1"/>
  <c r="N72" i="15"/>
  <c r="O72" i="15" s="1"/>
  <c r="N67" i="15"/>
  <c r="O67" i="15" s="1"/>
  <c r="N66" i="15"/>
  <c r="O66" i="15" s="1"/>
  <c r="N65" i="15"/>
  <c r="O65" i="15" s="1"/>
  <c r="N63" i="15"/>
  <c r="O63" i="15" s="1"/>
  <c r="N61" i="15"/>
  <c r="O61" i="15" s="1"/>
  <c r="N60" i="15"/>
  <c r="O60" i="15" s="1"/>
  <c r="N59" i="15"/>
  <c r="O59" i="15" s="1"/>
  <c r="N55" i="15"/>
  <c r="O55" i="15" s="1"/>
  <c r="N51" i="15"/>
  <c r="O51" i="15" s="1"/>
  <c r="N47" i="15"/>
  <c r="O47" i="15" s="1"/>
  <c r="N44" i="15"/>
  <c r="O44" i="15" s="1"/>
  <c r="N42" i="15"/>
  <c r="O42" i="15" s="1"/>
  <c r="N41" i="15"/>
  <c r="O41" i="15" s="1"/>
  <c r="N39" i="15"/>
  <c r="O39" i="15" s="1"/>
  <c r="N38" i="15"/>
  <c r="O38" i="15" s="1"/>
  <c r="N34" i="15"/>
  <c r="O34" i="15" s="1"/>
  <c r="N32" i="15"/>
  <c r="O32" i="15" s="1"/>
  <c r="N31" i="15"/>
  <c r="O31" i="15" s="1"/>
  <c r="N30" i="15"/>
  <c r="O30" i="15" s="1"/>
  <c r="N28" i="15"/>
  <c r="O28" i="15" s="1"/>
  <c r="N27" i="15"/>
  <c r="O27" i="15" s="1"/>
  <c r="N22" i="15"/>
  <c r="N17" i="15"/>
  <c r="O17" i="15" s="1"/>
  <c r="B11" i="11"/>
  <c r="B23" i="7"/>
  <c r="B24" i="7"/>
  <c r="J17" i="16" l="1"/>
  <c r="O423" i="15"/>
  <c r="J8" i="15"/>
  <c r="O22" i="15"/>
  <c r="O465" i="15"/>
  <c r="O467" i="15"/>
  <c r="N247" i="15"/>
  <c r="O247" i="15" s="1"/>
  <c r="K8" i="15" l="1"/>
  <c r="D72" i="1" s="1"/>
  <c r="N14" i="15"/>
  <c r="O14" i="15" s="1"/>
  <c r="A72" i="1" l="1"/>
  <c r="C74" i="1" s="1"/>
  <c r="O8" i="15"/>
  <c r="N8" i="15"/>
  <c r="G15" i="16" l="1"/>
  <c r="G14" i="16"/>
  <c r="J14" i="16"/>
  <c r="G13" i="16"/>
  <c r="J15" i="16"/>
  <c r="J13" i="16"/>
  <c r="G6" i="16"/>
  <c r="B18" i="7"/>
  <c r="J6" i="16"/>
  <c r="B17" i="7"/>
  <c r="B13" i="11" s="1"/>
  <c r="E23" i="16" l="1"/>
  <c r="B26" i="7"/>
  <c r="E9" i="2"/>
  <c r="G9" i="2" s="1"/>
  <c r="O47" i="16"/>
  <c r="C78" i="12" l="1"/>
  <c r="J9" i="2"/>
  <c r="D83" i="12" l="1"/>
  <c r="E83" i="12" s="1"/>
  <c r="B84" i="12" s="1"/>
  <c r="H9" i="2"/>
  <c r="I15" i="2" l="1"/>
  <c r="I12" i="2"/>
  <c r="I11" i="2"/>
  <c r="I18" i="2"/>
  <c r="I13" i="2"/>
  <c r="I14" i="2"/>
  <c r="H8" i="2"/>
  <c r="G8" i="2" s="1"/>
  <c r="I17" i="2"/>
  <c r="I10" i="2"/>
  <c r="I16" i="2"/>
  <c r="I9" i="2"/>
  <c r="E29" i="2" l="1"/>
  <c r="G29" i="2" s="1"/>
  <c r="E30" i="2"/>
  <c r="G30" i="2" s="1"/>
  <c r="E28" i="2"/>
  <c r="G28" i="2" s="1"/>
  <c r="E23" i="2"/>
  <c r="G23" i="2" s="1"/>
  <c r="E24" i="2"/>
  <c r="G24" i="2" s="1"/>
  <c r="E22" i="2"/>
  <c r="G22" i="2" s="1"/>
  <c r="O57" i="16"/>
  <c r="E26" i="2"/>
  <c r="G26" i="2" s="1"/>
  <c r="B31" i="2" l="1"/>
  <c r="B33" i="2" s="1"/>
  <c r="B22" i="7" s="1"/>
  <c r="E15" i="16" l="1"/>
  <c r="G98" i="12"/>
  <c r="I98" i="12" s="1"/>
  <c r="J27" i="16"/>
  <c r="G97" i="12"/>
  <c r="I97" i="12" s="1"/>
  <c r="G96" i="12"/>
  <c r="I96" i="12" s="1"/>
  <c r="G99" i="12"/>
  <c r="I99" i="12" s="1"/>
  <c r="G94" i="12"/>
  <c r="I94" i="12" s="1"/>
  <c r="G95" i="12"/>
  <c r="I95" i="12" s="1"/>
  <c r="I87" i="12" l="1"/>
  <c r="B86" i="12"/>
  <c r="B27" i="7" s="1"/>
  <c r="E25" i="16" l="1"/>
  <c r="H9" i="1" l="1"/>
  <c r="K9" i="1"/>
  <c r="H8" i="1" l="1"/>
  <c r="I11" i="1"/>
  <c r="I9" i="1"/>
  <c r="I12" i="1"/>
  <c r="I10" i="1"/>
  <c r="G8" i="1" l="1"/>
  <c r="B59" i="1" s="1"/>
  <c r="B74" i="1" s="1"/>
  <c r="E13" i="16" l="1"/>
  <c r="B21" i="7"/>
  <c r="O89" i="16" l="1"/>
  <c r="E12" i="9"/>
  <c r="F12" i="9"/>
  <c r="E29" i="9"/>
  <c r="F29" i="9"/>
  <c r="B31" i="7" l="1"/>
  <c r="B36" i="7" l="1"/>
  <c r="B35" i="7"/>
  <c r="C77" i="12"/>
  <c r="D31" i="16"/>
  <c r="F33" i="7" a="1"/>
  <c r="F33" i="7" s="1"/>
  <c r="B77" i="12" l="1"/>
  <c r="G83" i="12" s="1"/>
  <c r="C83" i="12" s="1"/>
  <c r="H33" i="7"/>
  <c r="B33" i="7" s="1"/>
  <c r="G31" i="16" s="1"/>
  <c r="A8" i="16"/>
  <c r="A29" i="7"/>
  <c r="B37" i="7"/>
  <c r="A76" i="12" l="1"/>
  <c r="A30" i="7"/>
  <c r="E28" i="7"/>
  <c r="E32" i="7"/>
  <c r="E31" i="7"/>
  <c r="E20" i="7"/>
  <c r="E23" i="7"/>
  <c r="E29" i="7"/>
  <c r="E17" i="7"/>
  <c r="E24" i="7"/>
  <c r="E25" i="7"/>
  <c r="E26" i="7"/>
  <c r="E16" i="7"/>
  <c r="E30" i="7"/>
  <c r="E21" i="7"/>
  <c r="E18" i="7"/>
  <c r="E27" i="7"/>
  <c r="E19" i="7"/>
  <c r="E22" i="7"/>
  <c r="E28" i="9"/>
  <c r="F28" i="9"/>
  <c r="E27" i="9"/>
  <c r="F27" i="9"/>
  <c r="E26" i="9"/>
  <c r="F26" i="9"/>
  <c r="E25" i="9"/>
  <c r="F25" i="9"/>
  <c r="F24" i="9"/>
  <c r="E24" i="9"/>
  <c r="E23" i="9"/>
  <c r="F23" i="9"/>
  <c r="F21" i="9"/>
  <c r="E21" i="9"/>
  <c r="O99" i="16"/>
  <c r="O98" i="16"/>
  <c r="E20" i="9"/>
  <c r="F20" i="9"/>
  <c r="F18" i="9"/>
  <c r="E18" i="9"/>
  <c r="O96" i="16"/>
  <c r="E30" i="9" l="1"/>
  <c r="B30" i="9"/>
  <c r="B36" i="9" s="1"/>
  <c r="E21" i="16" s="1"/>
  <c r="B25" i="7" l="1"/>
  <c r="B28" i="7" s="1"/>
  <c r="E27" i="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<sst xmlns="http://schemas.openxmlformats.org/spreadsheetml/2006/main" count="1537" uniqueCount="841">
  <si>
    <t>Assessment</t>
  </si>
  <si>
    <t>Description</t>
  </si>
  <si>
    <t>Category</t>
  </si>
  <si>
    <t>Non-Factory Trim/modified air intake before the throttle body</t>
  </si>
  <si>
    <t>Non-Factory Trim/modified throttle body</t>
  </si>
  <si>
    <t>Non-Factory Trim/modified supercharger pulley</t>
  </si>
  <si>
    <t>Non-Factory Trim/modified boost controller or vacuum lines that control boost</t>
  </si>
  <si>
    <t>Non-Factory Trim/modified wastegate, wastegate actuator</t>
  </si>
  <si>
    <t>Non-Factory Trim/modified intercooler</t>
  </si>
  <si>
    <t>Non-Factory Trim/modified intercooler pipes only</t>
  </si>
  <si>
    <t>Dry sump engine oil system</t>
  </si>
  <si>
    <t>Non-Factory Trim/modified/deleted engine or accessory fan and/or other engine accessories not otherwise listed</t>
  </si>
  <si>
    <t>Any type of commercially available gasoline or diesel fuel</t>
  </si>
  <si>
    <t>Non-Factory Trim hoses, belts, clamps</t>
  </si>
  <si>
    <t>Non-Factory Trim air or fuel filters</t>
  </si>
  <si>
    <t>Non-Factory Trim radiator</t>
  </si>
  <si>
    <t>Non-Factory Trim battery, starter motor, alternator, spark plugs, spark plug wires, ignition coils</t>
  </si>
  <si>
    <t>Non-Factory Trim/modifications to oil system</t>
  </si>
  <si>
    <t>Non-Factory Trim/modifications/number of fuel pumps</t>
  </si>
  <si>
    <t>Accessories and/or gauges</t>
  </si>
  <si>
    <t>Total</t>
  </si>
  <si>
    <t>Engine</t>
  </si>
  <si>
    <t>Non-Factory Trim/modified final drive ratio</t>
  </si>
  <si>
    <t>Non-Factory Trim/modified LSD if vehicle is equipped with LSD from the factory or was a factory option</t>
  </si>
  <si>
    <t>Non-Factory Trim/modified LSD if vehicle is not equipped with LSD from the factory or was not a factory option</t>
  </si>
  <si>
    <t>Non-Factory Trim/modified electronically controlled center differential mapping (ie GEMS center diff controller for Mitsubishi Evo, Subaru STi)</t>
  </si>
  <si>
    <t>Non-Factory Trim/modified half shafts or driveshafts including carbon fiber and aluminium driveshafts</t>
  </si>
  <si>
    <t>Relocation of transmission location via altered mounts</t>
  </si>
  <si>
    <t>Non-Factory Trim/modified shifter, including bushings, lever, etc.</t>
  </si>
  <si>
    <t>Drivetrain</t>
  </si>
  <si>
    <t>Torsion bar to coil spring conversion</t>
  </si>
  <si>
    <t>Non-Factory Trim sway bars</t>
  </si>
  <si>
    <t>Modification of wishbone suspension upright</t>
  </si>
  <si>
    <t>Non-Factory Trim subframe that does not alter suspension geometry</t>
  </si>
  <si>
    <t>Non-Factory Trim/modified Watts Link</t>
  </si>
  <si>
    <t>Non-Factory Trim/modified panhard bar</t>
  </si>
  <si>
    <t>Non-Factory Trim torque bar</t>
  </si>
  <si>
    <t>Modify OEM torque bar</t>
  </si>
  <si>
    <t>Removal of swaybars</t>
  </si>
  <si>
    <t>Non-Factory Trim sway bar endlinks</t>
  </si>
  <si>
    <t>Non-Factory Trim eccentric camber bolts</t>
  </si>
  <si>
    <t>Non-Factory Trim camber adjusting ball joints</t>
  </si>
  <si>
    <t>Suspension re-enforcement provided by installation of roll bar or roll cage that adheres to requirements listed in the Car Requirements section of the rules</t>
  </si>
  <si>
    <t>Suspension</t>
  </si>
  <si>
    <t>Non-Factory Trim rotors of the same type and shape as OEM</t>
  </si>
  <si>
    <t>Brakes</t>
  </si>
  <si>
    <t>Non-Factory Trim/modified canards (each set assessed points front or rear)</t>
  </si>
  <si>
    <t>Non-Factory Trim hardtop of different shape and size which alters airflow aft of the OEM rear glass (eg CWest Honda S2000 aero hardtop)</t>
  </si>
  <si>
    <t>Non-Factory Trim/modified flat bottom</t>
  </si>
  <si>
    <t>Non-Factory Trim/modified rear diffuser</t>
  </si>
  <si>
    <t>Non-Factory Trim/modified side skirts</t>
  </si>
  <si>
    <t>Non-Factory Trim/modified vortex generator to roof, hardtop, rear glass or trunk</t>
  </si>
  <si>
    <t>Engine Modifications Worksheet</t>
  </si>
  <si>
    <t>Drivetrain Modifications Worksheet</t>
  </si>
  <si>
    <t>Total Engine Modifications Assessment</t>
  </si>
  <si>
    <t>Total Drivetrain Modifications Assessment</t>
  </si>
  <si>
    <t>Total Suspension Modifications Assessment</t>
  </si>
  <si>
    <t>Non-Factory Trim/modified brake lines</t>
  </si>
  <si>
    <t>Brakes Modifications Worksheet</t>
  </si>
  <si>
    <t>Suspension Modifications Worksheet</t>
  </si>
  <si>
    <t>Total Exterior Modifications Assessment</t>
  </si>
  <si>
    <t>Number of Pieces</t>
  </si>
  <si>
    <t>Exterior Modifications Worksheet</t>
  </si>
  <si>
    <t>Weight Reduction Worksheet</t>
  </si>
  <si>
    <t>Showroom Base Weight</t>
  </si>
  <si>
    <t>Competition Weight</t>
  </si>
  <si>
    <t>Weight Difference</t>
  </si>
  <si>
    <t>Weight Reduction Assessment</t>
  </si>
  <si>
    <t>Note – weight reduction can be achieved by removing or replacing any non-essential parts, unless otherwise mentioned</t>
  </si>
  <si>
    <t>Non-DOT Slicks (except where noted)</t>
  </si>
  <si>
    <t>BFGoodrich R1</t>
  </si>
  <si>
    <t>Nitto NT01</t>
  </si>
  <si>
    <t>Brand</t>
  </si>
  <si>
    <t>T100</t>
  </si>
  <si>
    <t>T90</t>
  </si>
  <si>
    <t>T80</t>
  </si>
  <si>
    <t>T70</t>
  </si>
  <si>
    <t>T60</t>
  </si>
  <si>
    <t>T50</t>
  </si>
  <si>
    <t>T40</t>
  </si>
  <si>
    <t>Exterior</t>
  </si>
  <si>
    <t>Weight Reduction</t>
  </si>
  <si>
    <t>Tires</t>
  </si>
  <si>
    <t xml:space="preserve">Total </t>
  </si>
  <si>
    <t>Go to Engine Worksheet</t>
  </si>
  <si>
    <t>Go to Drivetrain Worksheet</t>
  </si>
  <si>
    <t>Go to Suspension Worksheet</t>
  </si>
  <si>
    <t>Go to Brakes Worksheet</t>
  </si>
  <si>
    <t>Go to Exterior Worksheet</t>
  </si>
  <si>
    <t>Go to Weight Reduction Worksheet</t>
  </si>
  <si>
    <t>Go to Tire Worksheet</t>
  </si>
  <si>
    <t>Showroom Assessment</t>
  </si>
  <si>
    <t>Make</t>
  </si>
  <si>
    <t>Model</t>
  </si>
  <si>
    <t>Showroom Assessment Points</t>
  </si>
  <si>
    <t>Touring Class Base Classification</t>
  </si>
  <si>
    <t>Total Assessment</t>
  </si>
  <si>
    <t>Classification</t>
  </si>
  <si>
    <t>Item</t>
  </si>
  <si>
    <t>Homepage</t>
  </si>
  <si>
    <t>Touring Class Summary</t>
  </si>
  <si>
    <t>Go to next sheet (Drivetrain</t>
  </si>
  <si>
    <t>Go to previous sheet (Engine)</t>
  </si>
  <si>
    <t>Go to next sheet (Suspension)</t>
  </si>
  <si>
    <t>Go to next sheet (Brakes)</t>
  </si>
  <si>
    <t>Go to previous sheet (Drivetrain)</t>
  </si>
  <si>
    <t>Go to previous sheet (Suspension)</t>
  </si>
  <si>
    <t>Go to next sheet (Exterior)</t>
  </si>
  <si>
    <t>Go to previous sheet (Brakes)</t>
  </si>
  <si>
    <t>Go to next sheet (Weight Reduction</t>
  </si>
  <si>
    <t>Go to previous sheet (Exterior)</t>
  </si>
  <si>
    <t>Go to next sheet (Tires)</t>
  </si>
  <si>
    <t>Go to previous sheet (Weight Reduction)</t>
  </si>
  <si>
    <t>Tires Reduction Worksheet</t>
  </si>
  <si>
    <t>Weight Type</t>
  </si>
  <si>
    <t>Amount</t>
  </si>
  <si>
    <t>Total weight of vehicle plus fluids, driver, ballast and any and all safety and other equipment during competition</t>
  </si>
  <si>
    <t>Difference</t>
  </si>
  <si>
    <t>Non-Factory Trim/modified catalytic converter(s)</t>
  </si>
  <si>
    <t>Showroom Assessment Car List</t>
  </si>
  <si>
    <t>Start Year</t>
  </si>
  <si>
    <t>End Year</t>
  </si>
  <si>
    <t>Showroom Base Weight (lbs)</t>
  </si>
  <si>
    <t>Factory Rated Crank HP</t>
  </si>
  <si>
    <t>Acura</t>
  </si>
  <si>
    <t>Integra Type R</t>
  </si>
  <si>
    <t>NSX</t>
  </si>
  <si>
    <t>Ariel</t>
  </si>
  <si>
    <t>Atom</t>
  </si>
  <si>
    <t>Audi</t>
  </si>
  <si>
    <t>A4 1.8T Quattro</t>
  </si>
  <si>
    <t>A4 2.0 T quattro</t>
  </si>
  <si>
    <t>A4 2.8 Quattro</t>
  </si>
  <si>
    <t>A4 3.0 Quattro</t>
  </si>
  <si>
    <t>A4 3.2 quattro</t>
  </si>
  <si>
    <t>Coupe GT</t>
  </si>
  <si>
    <t>S4</t>
  </si>
  <si>
    <t>S6 Quattro</t>
  </si>
  <si>
    <t>Austin Healy</t>
  </si>
  <si>
    <t>3000 MK III</t>
  </si>
  <si>
    <t>BMW</t>
  </si>
  <si>
    <t>318ti</t>
  </si>
  <si>
    <t>325i</t>
  </si>
  <si>
    <t>325is</t>
  </si>
  <si>
    <t>328is</t>
  </si>
  <si>
    <t>330Ci</t>
  </si>
  <si>
    <t>330i</t>
  </si>
  <si>
    <t>335xi</t>
  </si>
  <si>
    <t>528i</t>
  </si>
  <si>
    <t>530i</t>
  </si>
  <si>
    <t>540i</t>
  </si>
  <si>
    <t>M Coupe</t>
  </si>
  <si>
    <t>M3 CSL</t>
  </si>
  <si>
    <t>Z3 2.8</t>
  </si>
  <si>
    <t>Z4 M Roadster</t>
  </si>
  <si>
    <t>Cadillac</t>
  </si>
  <si>
    <t>CTS-V</t>
  </si>
  <si>
    <t>Chevrolet</t>
  </si>
  <si>
    <t>Camaro SS</t>
  </si>
  <si>
    <t>Camaro Z28</t>
  </si>
  <si>
    <t>Corvette</t>
  </si>
  <si>
    <t xml:space="preserve"> </t>
  </si>
  <si>
    <t>Datsun</t>
  </si>
  <si>
    <t>240Z</t>
  </si>
  <si>
    <t>Dodge</t>
  </si>
  <si>
    <t>Neon ACR</t>
  </si>
  <si>
    <t>Neon Sport</t>
  </si>
  <si>
    <t>Neon Sport (SOHC)</t>
  </si>
  <si>
    <t>Neon SRT-4</t>
  </si>
  <si>
    <t>Shelby Charger Turbo</t>
  </si>
  <si>
    <t>Viper GTS</t>
  </si>
  <si>
    <t>Viper SRT-10</t>
  </si>
  <si>
    <t>Ford</t>
  </si>
  <si>
    <t>Mustang</t>
  </si>
  <si>
    <t>Mustang Boss</t>
  </si>
  <si>
    <t>Mustang GT</t>
  </si>
  <si>
    <t>Mustang LX</t>
  </si>
  <si>
    <t>Mustang SVO</t>
  </si>
  <si>
    <t>Mustang SVT Cobra</t>
  </si>
  <si>
    <t>Mustang V6</t>
  </si>
  <si>
    <t>Honda</t>
  </si>
  <si>
    <t>Civic DX</t>
  </si>
  <si>
    <t>Civic DX Coupe</t>
  </si>
  <si>
    <t>Civic Si</t>
  </si>
  <si>
    <t>CRX Si</t>
  </si>
  <si>
    <t>S2000</t>
  </si>
  <si>
    <t>S2000 2.2L</t>
  </si>
  <si>
    <t>Hyundai</t>
  </si>
  <si>
    <t>Genesis Coupe</t>
  </si>
  <si>
    <t>Infiniti</t>
  </si>
  <si>
    <t>G35 Coupe</t>
  </si>
  <si>
    <t>Lotus</t>
  </si>
  <si>
    <t>Elise</t>
  </si>
  <si>
    <t>Mazda</t>
  </si>
  <si>
    <t>Mazdaspeed3</t>
  </si>
  <si>
    <t>Miata NA 1.6</t>
  </si>
  <si>
    <t>Miata NA 1.8</t>
  </si>
  <si>
    <t>Miata NB</t>
  </si>
  <si>
    <t>RX-7 (non-turbo)</t>
  </si>
  <si>
    <t>RX-7 Turbo</t>
  </si>
  <si>
    <t>Mercedes-Benz</t>
  </si>
  <si>
    <t>CLK 55 AMG</t>
  </si>
  <si>
    <t>MINI</t>
  </si>
  <si>
    <t>Cooper</t>
  </si>
  <si>
    <t>Cooper S</t>
  </si>
  <si>
    <t>Mitsubishi</t>
  </si>
  <si>
    <t>Eclipse GT</t>
  </si>
  <si>
    <t>Galant VR4</t>
  </si>
  <si>
    <t>Nissan</t>
  </si>
  <si>
    <t>350Z</t>
  </si>
  <si>
    <t>370Z Coupe</t>
  </si>
  <si>
    <t>GT-R</t>
  </si>
  <si>
    <t>Sentra SE-R</t>
  </si>
  <si>
    <t>Sentra XE</t>
  </si>
  <si>
    <t>Pontiac</t>
  </si>
  <si>
    <t>Fiero GT</t>
  </si>
  <si>
    <t>Firebird TransAm</t>
  </si>
  <si>
    <t>GTO</t>
  </si>
  <si>
    <t>Porsche</t>
  </si>
  <si>
    <t>914-6 GT</t>
  </si>
  <si>
    <t>924 S</t>
  </si>
  <si>
    <t>928 GT</t>
  </si>
  <si>
    <t>928 GTS</t>
  </si>
  <si>
    <t>944 S2</t>
  </si>
  <si>
    <t>944 Turbo</t>
  </si>
  <si>
    <t>Boxster</t>
  </si>
  <si>
    <t>Boxster S</t>
  </si>
  <si>
    <t>Saab</t>
  </si>
  <si>
    <t>9000 Aero</t>
  </si>
  <si>
    <t>9-3 Viggen</t>
  </si>
  <si>
    <t>Subaru</t>
  </si>
  <si>
    <t>Forester</t>
  </si>
  <si>
    <t>Forester 2.5 XT</t>
  </si>
  <si>
    <t>Impreza 2.5 RS</t>
  </si>
  <si>
    <t>Impreza WRX</t>
  </si>
  <si>
    <t>Impreza WRX STi</t>
  </si>
  <si>
    <t>Impreza WRX Sti</t>
  </si>
  <si>
    <t>Legacy 2.5 GT</t>
  </si>
  <si>
    <t>Legacy 2.5 GT Spec B</t>
  </si>
  <si>
    <t>Toyota</t>
  </si>
  <si>
    <t>MR2 Turbo</t>
  </si>
  <si>
    <t>Triumph</t>
  </si>
  <si>
    <t>TR6</t>
  </si>
  <si>
    <t>Volkswagen</t>
  </si>
  <si>
    <t>Golf GTI</t>
  </si>
  <si>
    <t>Golf GTI 1.8T</t>
  </si>
  <si>
    <t>Golf R32</t>
  </si>
  <si>
    <t>GTI Coupe</t>
  </si>
  <si>
    <t>Jetta 2.0T</t>
  </si>
  <si>
    <t>Jetta 2.5L</t>
  </si>
  <si>
    <t>Jetta VR6 GLS</t>
  </si>
  <si>
    <t>New Beetle GLS 1.8T</t>
  </si>
  <si>
    <t>Rabbit 2.5L Coupe</t>
  </si>
  <si>
    <t>Rabbit GTI</t>
  </si>
  <si>
    <t>Scirocco 16V</t>
  </si>
  <si>
    <t>Volkswagon</t>
  </si>
  <si>
    <t>Golf TDI</t>
  </si>
  <si>
    <t>Water-alcohol injection System</t>
  </si>
  <si>
    <t>Non-Factory Trim cylinder heads</t>
  </si>
  <si>
    <t>Non-Factory Trim/modified fuses, relays, wiring, or addition of Power Distribution Modules</t>
  </si>
  <si>
    <t>Non-Factory Trim/modified Pistons, Rods</t>
  </si>
  <si>
    <t xml:space="preserve">Factory trim hardtop or Non-Factory Trim hardtop of the same shape and size of OEM hardtop </t>
  </si>
  <si>
    <t>See Results (Touring Summary)</t>
  </si>
  <si>
    <t>Factory listed curb weight for a production vehicle, see Showroom Assessment Car List for amount (from Car List)</t>
  </si>
  <si>
    <t>Performance Adjustment</t>
  </si>
  <si>
    <t>Base Classification</t>
  </si>
  <si>
    <t>Factory Rated HP</t>
  </si>
  <si>
    <t>Factory Rated Torque</t>
  </si>
  <si>
    <t>R8 V8</t>
  </si>
  <si>
    <t>R8 V10</t>
  </si>
  <si>
    <t>S6</t>
  </si>
  <si>
    <t>330Ci ZHP</t>
  </si>
  <si>
    <t>Camaro RS</t>
  </si>
  <si>
    <t>Camaro LS</t>
  </si>
  <si>
    <t>Viper RT/10</t>
  </si>
  <si>
    <t>Focus SVT</t>
  </si>
  <si>
    <t>Shelby Mustang GT350 Convertible</t>
  </si>
  <si>
    <t>Shelby Mustang GT500</t>
  </si>
  <si>
    <t>Mustang Cobra R</t>
  </si>
  <si>
    <t>Mustang Cobra GT-40</t>
  </si>
  <si>
    <t>Mustang Cobra</t>
  </si>
  <si>
    <t>RX-8</t>
  </si>
  <si>
    <t>Eclipse GST</t>
  </si>
  <si>
    <t>Lancer Evo II</t>
  </si>
  <si>
    <t>Lancer Evo VII</t>
  </si>
  <si>
    <t>Lancer Evo VIII</t>
  </si>
  <si>
    <t>Lancer Evo IX</t>
  </si>
  <si>
    <t>Lander Evo X</t>
  </si>
  <si>
    <t>240SX</t>
  </si>
  <si>
    <t>Sentra SE</t>
  </si>
  <si>
    <t>Skyline GT-R (R32)</t>
  </si>
  <si>
    <t>Skyline GT-R (R33)</t>
  </si>
  <si>
    <t>Skyline GT-R (R34)</t>
  </si>
  <si>
    <t>Firebird TransAm TTA</t>
  </si>
  <si>
    <t>911 3.2L</t>
  </si>
  <si>
    <t>911 Turbo (930)</t>
  </si>
  <si>
    <t>911 (964)</t>
  </si>
  <si>
    <t>911 Turbo (965)</t>
  </si>
  <si>
    <t>911 (993)</t>
  </si>
  <si>
    <t>911 Turbo (993)</t>
  </si>
  <si>
    <t>911 Carrera (996)</t>
  </si>
  <si>
    <t>911 Carrera 2 (996)</t>
  </si>
  <si>
    <t>911 Carrera 3.6L (996)</t>
  </si>
  <si>
    <t>911 Carrera S (997)</t>
  </si>
  <si>
    <t>911 Carrera S 3.8L (996)</t>
  </si>
  <si>
    <t>911 GT3 (996)</t>
  </si>
  <si>
    <t>911 GT3 (997)</t>
  </si>
  <si>
    <t>911 GT2 (996)</t>
  </si>
  <si>
    <t>911 GT2 (997)</t>
  </si>
  <si>
    <t>911 GT3RS (997)</t>
  </si>
  <si>
    <t>911 Turbo (996)</t>
  </si>
  <si>
    <t>911 Turbo (997)</t>
  </si>
  <si>
    <t>900 Turbo</t>
  </si>
  <si>
    <t>MR2</t>
  </si>
  <si>
    <t>MR2 Sypder</t>
  </si>
  <si>
    <t>Scion</t>
  </si>
  <si>
    <t>FR-S</t>
  </si>
  <si>
    <t>BRZ</t>
  </si>
  <si>
    <t>Power (2/3HP + 1/3Torque)</t>
  </si>
  <si>
    <t>Weight/ Power</t>
  </si>
  <si>
    <t>Scaled Weight/ Power</t>
  </si>
  <si>
    <t xml:space="preserve">Modified steering rack from power assist to manual or manual to power assist  </t>
  </si>
  <si>
    <t>Non-Factory Trim/modified brake ducting</t>
  </si>
  <si>
    <t>Note – Mazda Rotary Engines  are to be considered 4 cylinder engines for the purposes of Engine Modification point Assessments outlined in the table above</t>
  </si>
  <si>
    <t>Go to Car List</t>
  </si>
  <si>
    <t>Note - some tires are assessed 1 point for 
excess tire-width relative to listed tire size</t>
  </si>
  <si>
    <t>SUSP Index</t>
  </si>
  <si>
    <t>MG</t>
  </si>
  <si>
    <t>Midget</t>
  </si>
  <si>
    <t>Mustang Boss 302</t>
  </si>
  <si>
    <t>Reprogrammed Factory Trim (includes ROM chips) ECU, naturally aspirated engine</t>
  </si>
  <si>
    <t>Non-Factory Trim ECU, naturally aspirated engine</t>
  </si>
  <si>
    <t>Street Port, rotary engines</t>
  </si>
  <si>
    <t>Bridge Port, rotary engines</t>
  </si>
  <si>
    <t>Peripheral Port, rotary engines</t>
  </si>
  <si>
    <t>Enabling or disabling of Factory Trim traction control</t>
  </si>
  <si>
    <t>Disabling or enabling of Factory Trim Electronic Stability Control systems</t>
  </si>
  <si>
    <t>Non-factory trim Active aero, i.e. moveable aero devices; 4 points assessed for each piece, in addition to assessment points listed above</t>
  </si>
  <si>
    <t>Total Brakes Modifications Assessment</t>
  </si>
  <si>
    <t>Total Tire Assessment</t>
  </si>
  <si>
    <t>Selected Vehicle</t>
  </si>
  <si>
    <t>Click "Select" to choose Vehicle</t>
  </si>
  <si>
    <t>Select a tire and enter tire width information in the yellow cells…</t>
  </si>
  <si>
    <t>O</t>
  </si>
  <si>
    <t>T0</t>
  </si>
  <si>
    <t>T30</t>
  </si>
  <si>
    <t>Base Assessment</t>
  </si>
  <si>
    <t>Base Class</t>
  </si>
  <si>
    <t>Selected</t>
  </si>
  <si>
    <t>p</t>
  </si>
  <si>
    <t>q</t>
  </si>
  <si>
    <t>Complete removal or “gutting” of OEM catalytic converter(s) (i.e. “test pipe” in place of catalytic converter)</t>
  </si>
  <si>
    <t>Scaled Power</t>
  </si>
  <si>
    <t>Drivetrain type</t>
  </si>
  <si>
    <t>Number of points above base car assessment</t>
  </si>
  <si>
    <t>Scaled result using 2/3 HP + 1/3 Torque + Drivetrain loss</t>
  </si>
  <si>
    <t>Points</t>
  </si>
  <si>
    <t>Engine Reclass Option</t>
  </si>
  <si>
    <t>Non-Factory Trim sequential gearbox</t>
  </si>
  <si>
    <t>Non-Factory Trim/modified traction control (ie via Non-Factory Trim ECU mapping)</t>
  </si>
  <si>
    <t>Custom Alignment settings, including caster, camber, or toe, regardless of factory recommendations; note: modifications to Factory-trim suspension components for the purposes of alignment adjustment must be assessed separately</t>
  </si>
  <si>
    <t>Non-Factory Trim drilled or slotted rotors of the same shape and size as OEM</t>
  </si>
  <si>
    <t>Non-Factory Trim/modified front bumper/air dam/spoiler</t>
  </si>
  <si>
    <t>Non-Factory Trim/modified front splitter, in addition to bumper/air dam/spoiler</t>
  </si>
  <si>
    <t>Non-Factory Trim/modified front splitter that extends more than 3.5 inches from front bumper skin leading edge, in addition to bumper/air dam/spoiler</t>
  </si>
  <si>
    <t>Toyo Proxes RR</t>
  </si>
  <si>
    <t>Safety upgrades required?</t>
  </si>
  <si>
    <t>Atom 500</t>
  </si>
  <si>
    <t>Aston Martin</t>
  </si>
  <si>
    <t>DB5</t>
  </si>
  <si>
    <t>DBS V12</t>
  </si>
  <si>
    <t>318i</t>
  </si>
  <si>
    <t>318is</t>
  </si>
  <si>
    <t>535i</t>
  </si>
  <si>
    <t>M Roadster</t>
  </si>
  <si>
    <t>M5</t>
  </si>
  <si>
    <t>M6</t>
  </si>
  <si>
    <t>Z8</t>
  </si>
  <si>
    <t>Bugatti</t>
  </si>
  <si>
    <t>Veyron</t>
  </si>
  <si>
    <t>Ferrari</t>
  </si>
  <si>
    <t>250 GTO</t>
  </si>
  <si>
    <t>308 GTB/GTS</t>
  </si>
  <si>
    <t>328 GTB/GTS</t>
  </si>
  <si>
    <t>Enzo</t>
  </si>
  <si>
    <t>F355 Berlinetta</t>
  </si>
  <si>
    <t>F360 Modena</t>
  </si>
  <si>
    <t>F40</t>
  </si>
  <si>
    <t>F430</t>
  </si>
  <si>
    <t>F458 Italia</t>
  </si>
  <si>
    <t>Fiat</t>
  </si>
  <si>
    <t>500 Abarth</t>
  </si>
  <si>
    <t>Focus Coupe</t>
  </si>
  <si>
    <t>Focus SE</t>
  </si>
  <si>
    <t>Focus Sedan</t>
  </si>
  <si>
    <t>Focus ZX3</t>
  </si>
  <si>
    <t>Focus ZX4 S/SE/SES</t>
  </si>
  <si>
    <t>Focus ZX4 ST</t>
  </si>
  <si>
    <t>GT</t>
  </si>
  <si>
    <t>Mustang GT (Roush Stage 3)</t>
  </si>
  <si>
    <t>Civic Hatchback</t>
  </si>
  <si>
    <t>Jaguar</t>
  </si>
  <si>
    <t>XKR</t>
  </si>
  <si>
    <t>XKR-S</t>
  </si>
  <si>
    <t>Lamborghini</t>
  </si>
  <si>
    <t>Aventador</t>
  </si>
  <si>
    <t>Gallardo LP 560-4</t>
  </si>
  <si>
    <t>Murcielago LP 670-4</t>
  </si>
  <si>
    <t>Lexus</t>
  </si>
  <si>
    <t>LFA</t>
  </si>
  <si>
    <t>Esprit</t>
  </si>
  <si>
    <t>Maserati</t>
  </si>
  <si>
    <t>Gran Turismo S</t>
  </si>
  <si>
    <t>MazdaSpeed MX5</t>
  </si>
  <si>
    <t>RX-7</t>
  </si>
  <si>
    <t>SLS AMG</t>
  </si>
  <si>
    <t>200SX SE</t>
  </si>
  <si>
    <t>200SX SE-R</t>
  </si>
  <si>
    <t>Carrera GT</t>
  </si>
  <si>
    <t>9-3 Vector</t>
  </si>
  <si>
    <t>Saleen</t>
  </si>
  <si>
    <t>S7</t>
  </si>
  <si>
    <t>S7 Twin Turbo</t>
  </si>
  <si>
    <t>Smart</t>
  </si>
  <si>
    <t>Fortwo</t>
  </si>
  <si>
    <t>Tesla</t>
  </si>
  <si>
    <t>Roadster Sport 2.5</t>
  </si>
  <si>
    <t>Corolla GT-S (AE86)</t>
  </si>
  <si>
    <t>MR2 N/A</t>
  </si>
  <si>
    <t>MR2 Supercharged</t>
  </si>
  <si>
    <t>TR7 Convertible</t>
  </si>
  <si>
    <t>TR7/8 Convertible</t>
  </si>
  <si>
    <t>Ultima</t>
  </si>
  <si>
    <t>GTR</t>
  </si>
  <si>
    <t>GTR720</t>
  </si>
  <si>
    <t>Modified, re-located, or non-Factory Trim brake brakets</t>
  </si>
  <si>
    <t>Non-Factory Trim brake pads or shoes</t>
  </si>
  <si>
    <t>Non-Factory Trim/modified ABS (e.g. Bosch Motorsport ABS)</t>
  </si>
  <si>
    <t>Non-Factory Trim/modified fenders</t>
  </si>
  <si>
    <t>Non-Factory Trim/modified doors</t>
  </si>
  <si>
    <t>Non-Factory Trim/modified trunk lid</t>
  </si>
  <si>
    <t>Non-Factory Trim/modified rear bumper</t>
  </si>
  <si>
    <t>Non-Factory Trim/modified hood</t>
  </si>
  <si>
    <t>Continental Challenge Wets</t>
  </si>
  <si>
    <t>Continental Challenge Dry Tires</t>
  </si>
  <si>
    <t>Click "Select" next to your vehicle on the list below</t>
  </si>
  <si>
    <t>Click "Select" where appropriate and enter information in the yellow cells…</t>
  </si>
  <si>
    <t>Click "Select" where appropriate</t>
  </si>
  <si>
    <t>Enter weight in the yellow cell</t>
  </si>
  <si>
    <t>`</t>
  </si>
  <si>
    <t>Horsepower</t>
  </si>
  <si>
    <t>Torque</t>
  </si>
  <si>
    <t>Type</t>
  </si>
  <si>
    <t>Select 2WD or AWD</t>
  </si>
  <si>
    <t>Year</t>
  </si>
  <si>
    <t>Modification Assessment Points</t>
  </si>
  <si>
    <t>Class</t>
  </si>
  <si>
    <t>Current Weight</t>
  </si>
  <si>
    <t>Engine total</t>
  </si>
  <si>
    <t>Tire total</t>
  </si>
  <si>
    <t>Tire Compound</t>
  </si>
  <si>
    <t>Safety upgrades required (engine)?</t>
  </si>
  <si>
    <t>Spec Width</t>
  </si>
  <si>
    <t>Total Assessment Points</t>
  </si>
  <si>
    <t>Touring Car Class</t>
  </si>
  <si>
    <t>Driver Information</t>
  </si>
  <si>
    <t>First Name</t>
  </si>
  <si>
    <t>Last Name</t>
  </si>
  <si>
    <t>Car Number</t>
  </si>
  <si>
    <t>Competitor Signature</t>
  </si>
  <si>
    <t>By signing this form I attest to the accuracy and completeness of the information provided on this sheet</t>
  </si>
  <si>
    <t>Non-Factory Trim/modified header 7-12 cyl (pre-cat exhaust change)</t>
  </si>
  <si>
    <t>Non-Factory Trim/modified header 1-6 cyl (pre-cat exhaust change)</t>
  </si>
  <si>
    <t xml:space="preserve">Non-Factory Trim/modified exhaust beyond the catalytic converter (e.g. cat back exhaust) </t>
  </si>
  <si>
    <t>Non-Factory Trim/modified motor, transmission, differential, and/or other drivetrain mounts, including metallic and non-metallic mounts</t>
  </si>
  <si>
    <t>Non-Factory Trim 2-way adjustable shocks, struts, dampers</t>
  </si>
  <si>
    <t>Non-Factory Trim 1-way adjustable shocks, struts, dampers</t>
  </si>
  <si>
    <t>Non-Factory Trim 3-way (or more) adjustable shocks, struts, dampers</t>
  </si>
  <si>
    <t>Non-Factory Trim shocks, struts, dampers with piggyback canister or external remote canister – note: must also take points for shocks/struts/dampers as listed above</t>
  </si>
  <si>
    <t>Home</t>
  </si>
  <si>
    <t>External</t>
  </si>
  <si>
    <t xml:space="preserve">Parts include: interior headliner, seats, carpets, insulation, air conditioner, radio, sunroof/moonroof, spare tire, jack, interior panels, console, etc. </t>
  </si>
  <si>
    <t>All mods total</t>
  </si>
  <si>
    <t>Note: All convertibles and open cockpit cars must have a suitable roll bar and arm-restraints (see rules for info)</t>
  </si>
  <si>
    <t>Enabling or use of Factory Trim ABS</t>
  </si>
  <si>
    <t>Dyno type</t>
  </si>
  <si>
    <t>Dynojet</t>
  </si>
  <si>
    <t>Corvette (C7) Coupe/Convertible</t>
  </si>
  <si>
    <t>Corvette (C7) Coupe Z51</t>
  </si>
  <si>
    <t>Corvette (C7) Coupe Z06</t>
  </si>
  <si>
    <t>Corvette (C6) Coupe/Convertible</t>
  </si>
  <si>
    <t>Corvette (C6) Grand Sport Coupe</t>
  </si>
  <si>
    <t>Corvette (C6) Coupe Z51</t>
  </si>
  <si>
    <t>Corvette (C6) Coupe Z06</t>
  </si>
  <si>
    <t>Corvette (C5) Coupe/Convertible</t>
  </si>
  <si>
    <t>Escort ZX2</t>
  </si>
  <si>
    <t>330i Sports Package</t>
  </si>
  <si>
    <t>370Z Nismo</t>
  </si>
  <si>
    <t>350Z Nismo</t>
  </si>
  <si>
    <t>Eclipse GSX</t>
  </si>
  <si>
    <t>Celica GT-S</t>
  </si>
  <si>
    <t>Camaro SS L99 Automatic</t>
  </si>
  <si>
    <t>9-5 SE</t>
  </si>
  <si>
    <t>Shelby GT</t>
  </si>
  <si>
    <t>tC</t>
  </si>
  <si>
    <t>Non‐Factory Trim brake calipers, drums, and/or rotors of a different size ‐ front, rear or both</t>
  </si>
  <si>
    <t>Mazdaspeed6</t>
  </si>
  <si>
    <t>Non-adjustable non-Factory Trim coil springs, leaf springs, or torsion bars (or non-modified factory height adjustment)</t>
  </si>
  <si>
    <t>Height adjustable non-Factory Trim coil springs, leaf springs, or torsion bars (or springs with modified factory height adjustment)</t>
  </si>
  <si>
    <t>Non-Factory Trim rotors of the same thickness and diameter as Factory Trim, including swap from one-piece to two-piece rotors</t>
  </si>
  <si>
    <t>Hankook Z221 TD Soft</t>
  </si>
  <si>
    <t>Tire Width Front</t>
  </si>
  <si>
    <t>Tire Width Rear</t>
  </si>
  <si>
    <t>Tire width in mm</t>
  </si>
  <si>
    <t>Average Width</t>
  </si>
  <si>
    <t>DOT UTQG rating 41-120 (unclassified)</t>
  </si>
  <si>
    <t>Non-Factory Trim/modified suspension components which enable alignment settings beyond Factory Trim capability (does not apply to coil springs, leaf springs, or torsion bars); note - additional points may need to be taken for specific non-Factory Trim suspension components if listed elsewhere in this section</t>
  </si>
  <si>
    <t>Non-Factory Trim suspension bushings, either rubber or polyurethane</t>
  </si>
  <si>
    <t>Non-Factory Trim suspension bushing limiters of any material; note - points must also be taken for bushing material, if applicable</t>
  </si>
  <si>
    <t>Non-Factory Trim/Modified Control Arms or Non-Factory Trim/Modified Trailing or Camber Arms of different dimensions than Factory Trim</t>
  </si>
  <si>
    <t>Non-Factory Trim Rear spoiler or wing including any airfoil that in no way protrudes more than 6” from the mounting location of the spoiler or wing, does not exceed the height of the vehicle, and does not extend beyond the width of the rear quarter panels</t>
  </si>
  <si>
    <t>Non-Factory Trim Rear spoiler or wing including any airfoil that does not exceed the height of the vehicle, does not extend beyond the width of the rear quarter panels, and does not extend no more than 6" beyond the skin of the rear bumper</t>
  </si>
  <si>
    <t>Non-Factory Trim Rear spoiler or wing including any air foil of any size or shape</t>
  </si>
  <si>
    <t>Front Underbody Tray that does not extend in front of the front bumper skin, beyond the width of the front quarter panels, or more than 18" behind the front axle; note – points for front splitter, bumper, spoiler, air dam, and flat bottom assessed separately</t>
  </si>
  <si>
    <t>Z3 2.3L</t>
  </si>
  <si>
    <t>Civic 3dr non-Si</t>
  </si>
  <si>
    <t>911 Carrera S</t>
  </si>
  <si>
    <t>Mazdaspeed Protege</t>
  </si>
  <si>
    <t>911 GTS</t>
  </si>
  <si>
    <t>Z3 1.9L</t>
  </si>
  <si>
    <t>GT-R NISMO</t>
  </si>
  <si>
    <t>Juke</t>
  </si>
  <si>
    <t>Avg Tire Width</t>
  </si>
  <si>
    <t xml:space="preserve"> Custom</t>
  </si>
  <si>
    <t>Disabling any and all factory and/or aftermarket ABS or competing in a vehicle not originally equipped with ABS</t>
  </si>
  <si>
    <t>Non-Factory Trim/modified intake manifold 1-6 cylinder engines, including manifold porting</t>
  </si>
  <si>
    <t>Non-Factory Trim/modified intake manifold 7-12 cylinder engines, including manifold porting</t>
  </si>
  <si>
    <t>Note: Tire softening compounds are illegal in all Touring classes</t>
  </si>
  <si>
    <t>Non-Factory Trim/modified fuel delivery system, except fuel pump(s) (i.e. fuel injectors, fuel rails, fuel regulators)</t>
  </si>
  <si>
    <t>Non-Factory Trim/modified muffler tips/components designed strictly for the purposes of reducing sound with no measurable or theoretical performance advantage (e.g. exhaust tip turn-down or second muffler)</t>
  </si>
  <si>
    <t>Non-Factory Trim suspension bushings or spherical bearings, except rubber or polyurethane</t>
  </si>
  <si>
    <t>Michelin Pilot Sport Cup 2</t>
  </si>
  <si>
    <t>Mercedes Benz</t>
  </si>
  <si>
    <t>e500 Wagon</t>
  </si>
  <si>
    <t>Alfa Romeo</t>
  </si>
  <si>
    <t>2000 Spider Veloce</t>
  </si>
  <si>
    <t>CRS Si</t>
  </si>
  <si>
    <t>A4 TT FWD</t>
  </si>
  <si>
    <t>320i</t>
  </si>
  <si>
    <t>Golf R</t>
  </si>
  <si>
    <t>Jetta SE</t>
  </si>
  <si>
    <t>Z4 3.0si</t>
  </si>
  <si>
    <t>Camaro ZL1</t>
  </si>
  <si>
    <t>TR4</t>
  </si>
  <si>
    <t>Cayenne Turbo</t>
  </si>
  <si>
    <t>Fiesta ST</t>
  </si>
  <si>
    <t>Carrera (997)</t>
  </si>
  <si>
    <t>Corvette (C7) Coupe Z06 Aero pack</t>
  </si>
  <si>
    <t>Vantage</t>
  </si>
  <si>
    <t>TT RS</t>
  </si>
  <si>
    <t>M2</t>
  </si>
  <si>
    <t>ATS-V Coupe</t>
  </si>
  <si>
    <t>Camaro SS 1LE</t>
  </si>
  <si>
    <t>Focus RS</t>
  </si>
  <si>
    <t>Focus ST</t>
  </si>
  <si>
    <t>Civic Hatchback DX</t>
  </si>
  <si>
    <t>RX7</t>
  </si>
  <si>
    <t>Mini</t>
  </si>
  <si>
    <t>JCW GP</t>
  </si>
  <si>
    <t>Panamera Turbo</t>
  </si>
  <si>
    <t>Giulia 2.0T AWD</t>
  </si>
  <si>
    <t>340XI</t>
  </si>
  <si>
    <t>335i RWD Coupe</t>
  </si>
  <si>
    <t>335d RWD Sedan</t>
  </si>
  <si>
    <t>335i RWD Sedan</t>
  </si>
  <si>
    <t>Challenger SRT8</t>
  </si>
  <si>
    <t>IS300</t>
  </si>
  <si>
    <t>Eclipse GT-6</t>
  </si>
  <si>
    <t>Cayenne GTS</t>
  </si>
  <si>
    <t>Cayman GTS</t>
  </si>
  <si>
    <t>Matrix XRS</t>
  </si>
  <si>
    <t>Matrix S</t>
  </si>
  <si>
    <t>Matrix</t>
  </si>
  <si>
    <t>Volvo</t>
  </si>
  <si>
    <t>V60 Polestar</t>
  </si>
  <si>
    <t>Reprogrammed Factory Trim (includes ROM chips) ECU, forced induction engine air/fuel change only. If applicable, additional points must be added for an increase in boost.</t>
  </si>
  <si>
    <t>Non-Factory Trim ECU, forced induction engine engine air/fuel change only. If applicable, additional points must be added for an increase in boost.</t>
  </si>
  <si>
    <t>Turbo Boost increase &lt;50%</t>
  </si>
  <si>
    <t>Turbo Boost increase &gt;50%</t>
  </si>
  <si>
    <t>Non-Factory Trim/modified camshafts, rocker arms, pushrods, or cam gears that adjust cam timing or lift</t>
  </si>
  <si>
    <t>Increased displacement by more than 1%</t>
  </si>
  <si>
    <t>Increase compression ratio greater than .50</t>
  </si>
  <si>
    <t>Increase compression ratio by .50 or less</t>
  </si>
  <si>
    <t>Factory specification engine rebuild and head shave</t>
  </si>
  <si>
    <t>Non-Factory Trim bracing, including strut/shock tower brace, chassis brace(s) (e.g. X-brace or cross-bar)</t>
  </si>
  <si>
    <t>Non-Factory Trim engine bracing (not including motor and other drivetrain mounts)</t>
  </si>
  <si>
    <t>Bridgestone RE71R</t>
  </si>
  <si>
    <t>Non-factory trim/modified headlight to allow increased or cooler air flow to engine air intake, unless already taking one point for cold air intake.</t>
  </si>
  <si>
    <t>Dyno</t>
  </si>
  <si>
    <t>Non-Factory Trim/modified supercharger or turbocharger, any location</t>
  </si>
  <si>
    <t>Non-Factory Trim/modified engine intake/exhaust valves</t>
  </si>
  <si>
    <t>Ported/polished Factory Trim cylinder heads</t>
  </si>
  <si>
    <t>DynoJet</t>
  </si>
  <si>
    <t>Ballast Location</t>
  </si>
  <si>
    <t>Gasoline</t>
  </si>
  <si>
    <t>Diesel</t>
  </si>
  <si>
    <t>Fuel Type</t>
  </si>
  <si>
    <t>Fuel Level</t>
  </si>
  <si>
    <t>Full</t>
  </si>
  <si>
    <t>7/8</t>
  </si>
  <si>
    <t>3/4</t>
  </si>
  <si>
    <t>5/8</t>
  </si>
  <si>
    <t>1/2</t>
  </si>
  <si>
    <t>3/8</t>
  </si>
  <si>
    <t>1/4</t>
  </si>
  <si>
    <t>1/8</t>
  </si>
  <si>
    <t>1/3</t>
  </si>
  <si>
    <t>2/3</t>
  </si>
  <si>
    <t>Indicated Fuel Level</t>
  </si>
  <si>
    <t>Location of ballast (passenger, trunk, back seat etc)</t>
  </si>
  <si>
    <t>Approx Fuel Weight</t>
  </si>
  <si>
    <t>Fuel Capacity (Gal.)</t>
  </si>
  <si>
    <t>Fuel Tank Capacity when full</t>
  </si>
  <si>
    <t>Indicate the fuel level and ballast for steward inspection purposes as included in your competition weight</t>
  </si>
  <si>
    <t>Value</t>
  </si>
  <si>
    <t>Ballast Amount (lbs)</t>
  </si>
  <si>
    <t>Steward Use Only</t>
  </si>
  <si>
    <t>Fuel Weight Difference</t>
  </si>
  <si>
    <t>Empty</t>
  </si>
  <si>
    <t>Tech Fuel Level</t>
  </si>
  <si>
    <t>Select fuel type used</t>
  </si>
  <si>
    <t>Starting with the 2018 season Dynojet is the only official dyno measurement</t>
  </si>
  <si>
    <t>Additional ballast added to vehicle, if any (weight plates etc)</t>
  </si>
  <si>
    <t>Select or TRUE</t>
  </si>
  <si>
    <t>Full,7/8,3/4,2/3,1/2</t>
  </si>
  <si>
    <t>Non-Factory Trim non-adjustable shocks, struts, dampers</t>
  </si>
  <si>
    <t>Impreza L</t>
  </si>
  <si>
    <t>BRZ Performance Pack</t>
  </si>
  <si>
    <t xml:space="preserve">Volkswagen </t>
  </si>
  <si>
    <t>323ci</t>
  </si>
  <si>
    <t>RSX Type S</t>
  </si>
  <si>
    <t>Impreza Sport</t>
  </si>
  <si>
    <t>9-5 Aero</t>
  </si>
  <si>
    <t>Cooper S JCW</t>
  </si>
  <si>
    <t>Model 3 Long Range RWD</t>
  </si>
  <si>
    <t>Mustang GT Performance Package 1</t>
  </si>
  <si>
    <t>Mustang GT Performance Package 2</t>
  </si>
  <si>
    <t>86 Spec Ed ( perf pack)</t>
  </si>
  <si>
    <t>Refer to Official Rules Document for full description</t>
  </si>
  <si>
    <t>● 5+ point safety harness (SFI or FIA approved and not expired)</t>
  </si>
  <si>
    <t>● Minimum of single layer full length fire suit, gloves and footwear</t>
  </si>
  <si>
    <t>● Roll bar or roll cage</t>
  </si>
  <si>
    <t>● Window nets or arm restraints</t>
  </si>
  <si>
    <t>COMSCC 2019 Touring Class Classification Sheet</t>
  </si>
  <si>
    <t>318ti with S52 swap</t>
  </si>
  <si>
    <t>M235i</t>
  </si>
  <si>
    <t>Camaro ZL1 1LE</t>
  </si>
  <si>
    <t>Corvette (C8)</t>
  </si>
  <si>
    <t>Challenger Hellcat</t>
  </si>
  <si>
    <t xml:space="preserve">Dodge </t>
  </si>
  <si>
    <t>Challenger Hellcat Redeye</t>
  </si>
  <si>
    <t>Solstice (also Saturn Sky)</t>
  </si>
  <si>
    <t>Solstice GXP (Saturn Redline)</t>
  </si>
  <si>
    <t>911 GT3</t>
  </si>
  <si>
    <t>Veloster N</t>
  </si>
  <si>
    <t>Civic Type R</t>
  </si>
  <si>
    <t>Veloster N w/pref package</t>
  </si>
  <si>
    <t>Hoosier Radial Wets, H2O,SMW</t>
  </si>
  <si>
    <t>Hankook c90, c91,C9, Wets</t>
  </si>
  <si>
    <t>Hankook c70, c71, C7</t>
  </si>
  <si>
    <t>Kumho Ecsta V700</t>
  </si>
  <si>
    <t>Hankook z221 TD Hard/ C3</t>
  </si>
  <si>
    <t>Federal FZ-201 Soft</t>
  </si>
  <si>
    <t>Federal FZ-201 Medium</t>
  </si>
  <si>
    <t>Federal 595RS-RR, PRO</t>
  </si>
  <si>
    <t>Toyo R1R</t>
  </si>
  <si>
    <t>Hankook Ventus RS-4</t>
  </si>
  <si>
    <t>Michelin Pilot Super Sport, Pilot Spt 4S</t>
  </si>
  <si>
    <t>Federal 595RS-R</t>
  </si>
  <si>
    <t>1. Select your Car from the Showroom Assessment List ("Vehicles" tab below)</t>
  </si>
  <si>
    <t>2. Use the Worksheets (tabs below) to enter modifications, to determine the Modification Assessment for your vehicle</t>
  </si>
  <si>
    <t>3. Note - do not attempt to edit any cells on this page, all values will auto-populate from other fields and sheets.</t>
  </si>
  <si>
    <t>IMPORTANT- THIS SHEET FOR TOURING CLASSIFICATIONS ONLY -
For Super Class cars, please see the separate "Super" Spreadsheet</t>
  </si>
  <si>
    <t>For engine swaps or elective dyno based classing, competitor must provide peak horsepower figure to the Steward for evaluation; Scrutineer may request supporting documentation at the Steward’s discretion</t>
  </si>
  <si>
    <t>Select Crank HP or Wheel HP Dyno measurements</t>
  </si>
  <si>
    <t>Ballast Record</t>
  </si>
  <si>
    <t>Start page</t>
  </si>
  <si>
    <t>Please save your downloaded, completed sheet with the title in this format:</t>
  </si>
  <si>
    <t>Class_carnumber_lastname_firstname_additional information</t>
  </si>
  <si>
    <t>Example:</t>
  </si>
  <si>
    <t>rules@comscc.org</t>
  </si>
  <si>
    <t>A Dyno sheet is not required in Touring classes. GENERALLY speaking,  the more modifications you have, you may benefit from using a dyno sheet instead of adding up your modifications and assigning points for each.  But if your car's HP/TQ is overstated by the manufacturer, you may also benefit by dyno testing your stock-ish engine as well.  It's up to you to decide.</t>
  </si>
  <si>
    <t>Please email your completed sheet to</t>
  </si>
  <si>
    <t>Start on the "Summary" Tab, and step through from there to complete your sheet</t>
  </si>
  <si>
    <r>
      <t xml:space="preserve">Yes, you may submit multiple configurations of the same car.  You are responsible for declaring to a Steward which sheet you are using the morning of the TT, if it's not obvious due to weather, or risk disqualification.
</t>
    </r>
    <r>
      <rPr>
        <b/>
        <sz val="12"/>
        <color theme="1"/>
        <rFont val="Calibri"/>
        <family val="2"/>
        <scheme val="minor"/>
      </rPr>
      <t>You may also choose to "run up" a class.  Please name your file with the class you wish to compete in</t>
    </r>
  </si>
  <si>
    <t>S2000 CR</t>
  </si>
  <si>
    <t>Corvette (C5) Z06</t>
  </si>
  <si>
    <t>Corvette (C7) Grand Sport</t>
  </si>
  <si>
    <t>280Z</t>
  </si>
  <si>
    <t>Dyno reclass option</t>
  </si>
  <si>
    <t>Non-Factory Trim non-sequential (H pattern) Dogbox gearbox</t>
  </si>
  <si>
    <t>Dual clutch transmission - DSG, DCT, PDK, etc</t>
  </si>
  <si>
    <t>7 speed or more automatic transmission - GM HydraMatic 10L90 and 10L80, Ford 10R80, ZF HP8, Mercedes 7G-Tronic etc</t>
  </si>
  <si>
    <t>Automated single clutch manual transmission - SMG, Ferrari F1, Lambo E-Gear etc</t>
  </si>
  <si>
    <t>CVT Transmission</t>
  </si>
  <si>
    <t>Automatic transmission with 6 speeds or less</t>
  </si>
  <si>
    <t>3 or 4 speed manual transmission</t>
  </si>
  <si>
    <t>5 or 6 speed manual transmission</t>
  </si>
  <si>
    <t>Non-Factory Trim/modified flywheel</t>
  </si>
  <si>
    <t>Non-Factory Trim/modified clutch, pressure plate, and/or clutch assembly</t>
  </si>
  <si>
    <t>Goodyear Supercar 3R</t>
  </si>
  <si>
    <t>Goodyear Supercar G:2</t>
  </si>
  <si>
    <t>Proposed Class</t>
  </si>
  <si>
    <t>Intended Competition Class</t>
  </si>
  <si>
    <t>Tire Class Selected</t>
  </si>
  <si>
    <t>Spec size</t>
  </si>
  <si>
    <t>Goodyear Supercar 3</t>
  </si>
  <si>
    <t>Corvette (C8) Z51</t>
  </si>
  <si>
    <t>Civic CX</t>
  </si>
  <si>
    <t>Civic Cx w/ K24A swap</t>
  </si>
  <si>
    <t>Genesis Coupe R Spec 3.8</t>
  </si>
  <si>
    <t>Mercedes</t>
  </si>
  <si>
    <t>GTR Pro</t>
  </si>
  <si>
    <t>911 Carrera C4S</t>
  </si>
  <si>
    <t>Jetta GLI-S</t>
  </si>
  <si>
    <t>F Type S Coupe</t>
  </si>
  <si>
    <t>328iX</t>
  </si>
  <si>
    <t>TTS</t>
  </si>
  <si>
    <t>X Type sportwagon</t>
  </si>
  <si>
    <t>Lancer Evo I</t>
  </si>
  <si>
    <t>MX-5 ND</t>
  </si>
  <si>
    <t>Corvette (C8) Z06</t>
  </si>
  <si>
    <t>E30 M3</t>
  </si>
  <si>
    <t>E36 M3  (3.0)</t>
  </si>
  <si>
    <t>E36 M3 (3.2)</t>
  </si>
  <si>
    <t>E46 M3</t>
  </si>
  <si>
    <t>E90 M3</t>
  </si>
  <si>
    <t>F80 M3</t>
  </si>
  <si>
    <t>F82 M4 GTS coupe</t>
  </si>
  <si>
    <t xml:space="preserve">F82/83 M4 </t>
  </si>
  <si>
    <t>F82/83 M4 Competition</t>
  </si>
  <si>
    <t xml:space="preserve">G82/83 M4 </t>
  </si>
  <si>
    <t>G82/83 M4 Competition</t>
  </si>
  <si>
    <t>SS Sedan</t>
  </si>
  <si>
    <t>128i</t>
  </si>
  <si>
    <t>400Z</t>
  </si>
  <si>
    <t>190E</t>
  </si>
  <si>
    <t xml:space="preserve">Toyota </t>
  </si>
  <si>
    <t>Supra 3.0</t>
  </si>
  <si>
    <t>Genesis coupe R Spec 2.0T</t>
  </si>
  <si>
    <t>Genesis coupe R Spec 3.8</t>
  </si>
  <si>
    <t>Z4 sDrive 30i 4 cyl turbo</t>
  </si>
  <si>
    <t>Z4 sDrive M40i 6 Cyl</t>
  </si>
  <si>
    <t>Supra 2.0</t>
  </si>
  <si>
    <t>135i Coupe inc'l M-Sport</t>
  </si>
  <si>
    <t>135is</t>
  </si>
  <si>
    <t>Mk7 GTI</t>
  </si>
  <si>
    <t>Mk7 GTI-S</t>
  </si>
  <si>
    <t>Mk8 Golf R</t>
  </si>
  <si>
    <t>Mustang Mach-1</t>
  </si>
  <si>
    <t>Mk6 Golf GTI</t>
  </si>
  <si>
    <t>ATS-V Sedan V6</t>
  </si>
  <si>
    <t>Pirelli P-Zero Slick ( DH Compound ONLY)</t>
  </si>
  <si>
    <t>Hoosier A Compound (All)</t>
  </si>
  <si>
    <t>Maxxis Victra RC-1 (R2)</t>
  </si>
  <si>
    <t>Nankang AR-1</t>
  </si>
  <si>
    <t>Pirelli Tropheo R</t>
  </si>
  <si>
    <t>Yokahama A052</t>
  </si>
  <si>
    <t>Yokahama A048</t>
  </si>
  <si>
    <t>Falken Azenis RT660</t>
  </si>
  <si>
    <t>Michelin Sport Cup 2R</t>
  </si>
  <si>
    <t>Dunlop Direzza ZIII</t>
  </si>
  <si>
    <t>Cooper RS3-R</t>
  </si>
  <si>
    <t>Cooper RS3-RS</t>
  </si>
  <si>
    <t>T110</t>
  </si>
  <si>
    <t>BFGoodrich R1-S, g-force slick</t>
  </si>
  <si>
    <t>Goodyear RS AC - "dot radial"</t>
  </si>
  <si>
    <t>Hoosier R7, SM7, SM7.5 compound (All)</t>
  </si>
  <si>
    <t>Kumho Ecsta V720, V730</t>
  </si>
  <si>
    <t>DOT UTQG rating 121-200 (unclassified)</t>
  </si>
  <si>
    <t>BFGoodrich Rival S 1.5</t>
  </si>
  <si>
    <t>Maxxis Victra VR-1</t>
  </si>
  <si>
    <t>BF Goodrich g-Force Rival</t>
  </si>
  <si>
    <t>Falken Azenis RT615K+</t>
  </si>
  <si>
    <t>Continental ExtremeContact Force</t>
  </si>
  <si>
    <t xml:space="preserve">All drivers must submit a completed sheet. </t>
  </si>
  <si>
    <t>All dyno sheets must be no more than 3 years old, and are expected to represent the car as it is today</t>
  </si>
  <si>
    <t>The sheet was built in Excel, and works best in Excel.  Using it in Google sheets or anything else may result in some of the cool automatic functions not working for you.  We've had some really smart people try to find a way to make it work in alternate Applications.  If you would like to give it a try contact the Chief Steward and he'll be happy to let you have a crack at it.</t>
  </si>
  <si>
    <t>T50_12_Giurlando_Paul_Wet.xlxs</t>
  </si>
  <si>
    <t>M2 Competition</t>
  </si>
  <si>
    <t>M2 CS</t>
  </si>
  <si>
    <t>Shelby GT350 Base (non-Track Pack)</t>
  </si>
  <si>
    <t>Shelby GT350 Base (with Track Pack)</t>
  </si>
  <si>
    <t>Shelby GT350 R</t>
  </si>
  <si>
    <t>Shelby GT500</t>
  </si>
  <si>
    <t>MX-5 NC</t>
  </si>
  <si>
    <t>Ballast is allowed up to 150lbs provided it is secured – location and security of ballast must be verified by Tech Inspector or a Steward</t>
  </si>
  <si>
    <r>
      <t xml:space="preserve">A COMSCC Steward may choose to have a competitor’s car weighed at any time during an event where scales are available.  Further, the Steward may choose to weigh a single competitor, a group of competitors, an entire class or run group, or the entire Time Trial field.  Scale readouts may either be used for informational purposes or in the case of a protest or tech inspection.  COMSCC has it's own scales, and in case of a difference between your scales, scales at the track (NHMS), or your race shop's scales, </t>
    </r>
    <r>
      <rPr>
        <b/>
        <sz val="11"/>
        <color theme="1"/>
        <rFont val="Calibri"/>
        <family val="2"/>
        <scheme val="minor"/>
      </rPr>
      <t>ours win</t>
    </r>
    <r>
      <rPr>
        <sz val="11"/>
        <color theme="1"/>
        <rFont val="Calibri"/>
        <family val="2"/>
        <scheme val="minor"/>
      </rPr>
      <t>.  So leave yourself a reasonable margin of error if you're at the edge of your class limit- say 10 lbs or so.</t>
    </r>
  </si>
  <si>
    <t>Cayman (987.1)</t>
  </si>
  <si>
    <t>Cayman (987.2)</t>
  </si>
  <si>
    <t>Cayman (981)</t>
  </si>
  <si>
    <t>718 Cayman /T (982)</t>
  </si>
  <si>
    <t>Cayman S (987.1)</t>
  </si>
  <si>
    <t>Cayman S/R (987.2)</t>
  </si>
  <si>
    <t>Cayman S/GTS (981)</t>
  </si>
  <si>
    <t>718 Cayman S/GTS (982)</t>
  </si>
  <si>
    <t> Corolla Hybrid XLE</t>
  </si>
  <si>
    <t>Cayman GT4 (918)</t>
  </si>
  <si>
    <t xml:space="preserve">Accord </t>
  </si>
  <si>
    <t xml:space="preserve">M8 competition grand coupe </t>
  </si>
  <si>
    <t xml:space="preserve">Mazda </t>
  </si>
  <si>
    <t>MX-5 NC (Factory Automatic)</t>
  </si>
  <si>
    <t>Yoko A055</t>
  </si>
  <si>
    <t>Goodyear eagle RS</t>
  </si>
  <si>
    <t>Hankook Z214 c50, c51, C5</t>
  </si>
  <si>
    <t>VITOUR Tempesta P1</t>
  </si>
  <si>
    <t>Bridgestone RE71RS</t>
  </si>
  <si>
    <t>Yoko ADVAN Apex</t>
  </si>
  <si>
    <t>Toyo R888</t>
  </si>
  <si>
    <t>Toyo RA1</t>
  </si>
  <si>
    <t>R888R</t>
  </si>
  <si>
    <t>Non-Factory Trim/modified power steering, crank pulley</t>
  </si>
  <si>
    <t>Vehicles tuned and running ethanol content greater than 15%. (E.g. a vehicle tuned to run on e85)</t>
  </si>
  <si>
    <t>(Choose)</t>
  </si>
  <si>
    <t>Manual tranmission with factory autoblip (Nissan 370Z, BMW M2, C7 Corvette, Porsche) or aftermarket add-on</t>
  </si>
  <si>
    <t>1 COM supplied sticker on each side of the vehicle that is easily visible from the outside (2 stickers minimum)</t>
  </si>
  <si>
    <t>Nankang CRS</t>
  </si>
  <si>
    <t>MX-5 NC SV</t>
  </si>
  <si>
    <t>CLA45S AMG</t>
  </si>
  <si>
    <t>RT660+</t>
  </si>
  <si>
    <t xml:space="preserve">Hoosier Track Attack </t>
  </si>
  <si>
    <t xml:space="preserve">Toyo R </t>
  </si>
  <si>
    <t>Maxis VR2</t>
  </si>
  <si>
    <t>Toyo RR</t>
  </si>
  <si>
    <t>Conti ExtremeContact sport 02</t>
  </si>
  <si>
    <t xml:space="preserve">Michelin Pilot 4S </t>
  </si>
  <si>
    <t>DOT UTQG rating &gt;201</t>
  </si>
  <si>
    <t>COMSCC 2025</t>
  </si>
  <si>
    <t>Non-factory trim Active aero, i.e. moveable aero devices; points assessed for each piece, in addition to assessment points listed above (set number of pieces below)</t>
  </si>
  <si>
    <t>TU</t>
  </si>
  <si>
    <t>v13.2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</si>
</sst>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2"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font>
    <font>
      <b/>
      <sz val="11"/>
      <color theme="0"/>
      <name val="Calibri"/>
      <family val="2"/>
    </font>
    <font>
      <b/>
      <i/>
      <sz val="11"/>
      <color theme="1"/>
      <name val="Calibri"/>
      <family val="2"/>
      <scheme val="minor"/>
    </font>
    <font>
      <b/>
      <u/>
      <sz val="11"/>
      <color theme="1"/>
      <name val="Calibri"/>
      <family val="2"/>
      <scheme val="minor"/>
    </font>
    <font>
      <b/>
      <i/>
      <u/>
      <sz val="11"/>
      <color theme="1"/>
      <name val="Calibri"/>
      <family val="2"/>
      <scheme val="minor"/>
    </font>
    <font>
      <b/>
      <sz val="14"/>
      <color theme="0"/>
      <name val="Calibri"/>
      <family val="2"/>
      <scheme val="minor"/>
    </font>
    <font>
      <sz val="8"/>
      <color rgb="FF000000"/>
      <name val="Tahoma"/>
      <family val="2"/>
    </font>
    <font>
      <b/>
      <u/>
      <sz val="14"/>
      <color theme="1"/>
      <name val="Calibri"/>
      <family val="2"/>
      <scheme val="minor"/>
    </font>
    <font>
      <b/>
      <sz val="14"/>
      <color rgb="FFFF0000"/>
      <name val="Calibri"/>
      <family val="2"/>
      <scheme val="minor"/>
    </font>
    <font>
      <sz val="14"/>
      <color theme="1"/>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sz val="11"/>
      <color theme="4" tint="0.59996337778862885"/>
      <name val="Calibri"/>
      <family val="2"/>
      <scheme val="minor"/>
    </font>
    <font>
      <b/>
      <sz val="10"/>
      <color theme="1"/>
      <name val="Calibri"/>
      <family val="2"/>
      <scheme val="minor"/>
    </font>
    <font>
      <sz val="12"/>
      <color theme="1"/>
      <name val="Calibri"/>
      <family val="2"/>
      <scheme val="minor"/>
    </font>
    <font>
      <sz val="11"/>
      <color theme="1"/>
      <name val="Calibri"/>
      <family val="2"/>
      <scheme val="minor"/>
    </font>
    <font>
      <sz val="8"/>
      <color rgb="FF000000"/>
      <name val="Segoe UI"/>
      <family val="2"/>
    </font>
    <font>
      <b/>
      <sz val="11"/>
      <color theme="0"/>
      <name val="Calibri"/>
      <family val="2"/>
      <scheme val="minor"/>
    </font>
    <font>
      <b/>
      <sz val="16"/>
      <color rgb="FFC00000"/>
      <name val="Calibri"/>
      <family val="2"/>
      <scheme val="minor"/>
    </font>
    <font>
      <b/>
      <sz val="12"/>
      <color theme="1"/>
      <name val="Calibri"/>
      <family val="2"/>
      <scheme val="minor"/>
    </font>
    <font>
      <sz val="11"/>
      <color rgb="FF000000"/>
      <name val="Calibri"/>
      <family val="2"/>
    </font>
    <font>
      <sz val="11"/>
      <color theme="1"/>
      <name val="Arial"/>
      <family val="2"/>
    </font>
    <font>
      <sz val="11"/>
      <color theme="1"/>
      <name val="Calibri"/>
      <family val="2"/>
    </font>
    <font>
      <b/>
      <sz val="11"/>
      <color rgb="FFFF0000"/>
      <name val="Calibri"/>
      <family val="2"/>
      <scheme val="minor"/>
    </font>
    <font>
      <sz val="20"/>
      <color theme="1"/>
      <name val="Calibri"/>
      <family val="2"/>
      <scheme val="minor"/>
    </font>
    <font>
      <sz val="11"/>
      <color rgb="FF222222"/>
      <name val="Calibri"/>
      <family val="2"/>
    </font>
    <font>
      <sz val="10"/>
      <color rgb="FF333333"/>
      <name val="Trebuchet MS"/>
      <family val="2"/>
    </font>
    <font>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66"/>
        <bgColor indexed="64"/>
      </patternFill>
    </fill>
    <fill>
      <patternFill patternType="solid">
        <fgColor rgb="FFC00000"/>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3999450666829432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FF"/>
        <bgColor indexed="64"/>
      </patternFill>
    </fill>
  </fills>
  <borders count="43">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25" fillId="0" borderId="0"/>
  </cellStyleXfs>
  <cellXfs count="252">
    <xf numFmtId="0" fontId="0" fillId="0" borderId="0" xfId="0"/>
    <xf numFmtId="0" fontId="0" fillId="2" borderId="0" xfId="0" applyFill="1"/>
    <xf numFmtId="0" fontId="0" fillId="2" borderId="0" xfId="0" applyFill="1" applyAlignment="1">
      <alignment wrapText="1"/>
    </xf>
    <xf numFmtId="0" fontId="2" fillId="2" borderId="0" xfId="0" applyFont="1" applyFill="1"/>
    <xf numFmtId="0" fontId="4" fillId="3" borderId="0" xfId="1" applyFont="1" applyFill="1" applyAlignment="1" applyProtection="1">
      <alignment horizontal="center" vertical="center"/>
    </xf>
    <xf numFmtId="0" fontId="4" fillId="3" borderId="1" xfId="1" applyFont="1" applyFill="1" applyBorder="1" applyAlignment="1" applyProtection="1">
      <alignment horizontal="center" vertical="center" wrapText="1"/>
    </xf>
    <xf numFmtId="0" fontId="0" fillId="2" borderId="2" xfId="0" applyFill="1" applyBorder="1"/>
    <xf numFmtId="0" fontId="4" fillId="3" borderId="3" xfId="1" applyFont="1" applyFill="1" applyBorder="1" applyAlignment="1" applyProtection="1">
      <alignment horizontal="center" vertical="center"/>
    </xf>
    <xf numFmtId="0" fontId="1" fillId="2" borderId="2" xfId="0" applyFont="1" applyFill="1" applyBorder="1"/>
    <xf numFmtId="0" fontId="1" fillId="4" borderId="2" xfId="0" applyFont="1" applyFill="1" applyBorder="1"/>
    <xf numFmtId="0" fontId="0" fillId="4" borderId="2" xfId="0" applyFill="1" applyBorder="1"/>
    <xf numFmtId="0" fontId="1" fillId="5" borderId="2" xfId="0" applyFont="1" applyFill="1" applyBorder="1"/>
    <xf numFmtId="0" fontId="1" fillId="5" borderId="4" xfId="0" applyFont="1" applyFill="1" applyBorder="1"/>
    <xf numFmtId="0" fontId="5" fillId="5" borderId="6" xfId="0" applyFont="1" applyFill="1" applyBorder="1"/>
    <xf numFmtId="0" fontId="0" fillId="2" borderId="0" xfId="0" applyFill="1" applyAlignment="1">
      <alignment horizontal="center"/>
    </xf>
    <xf numFmtId="0" fontId="1" fillId="5" borderId="2" xfId="0" applyFont="1" applyFill="1" applyBorder="1" applyAlignment="1">
      <alignment horizontal="center"/>
    </xf>
    <xf numFmtId="0" fontId="0" fillId="4" borderId="2" xfId="0" applyFill="1" applyBorder="1" applyAlignment="1">
      <alignment horizontal="center"/>
    </xf>
    <xf numFmtId="0" fontId="0" fillId="2" borderId="2" xfId="0" applyFill="1" applyBorder="1" applyAlignment="1">
      <alignment wrapText="1"/>
    </xf>
    <xf numFmtId="0" fontId="1" fillId="2" borderId="2" xfId="0" applyFont="1" applyFill="1" applyBorder="1" applyAlignment="1">
      <alignment wrapText="1"/>
    </xf>
    <xf numFmtId="0" fontId="1" fillId="5" borderId="2" xfId="0" applyFont="1" applyFill="1" applyBorder="1" applyAlignment="1">
      <alignment wrapText="1"/>
    </xf>
    <xf numFmtId="0" fontId="0" fillId="4" borderId="2" xfId="0" applyFill="1" applyBorder="1" applyAlignment="1">
      <alignment wrapText="1"/>
    </xf>
    <xf numFmtId="0" fontId="2" fillId="2" borderId="0" xfId="0" applyFont="1" applyFill="1" applyAlignment="1">
      <alignment wrapText="1"/>
    </xf>
    <xf numFmtId="0" fontId="0" fillId="4" borderId="9" xfId="0" applyFill="1" applyBorder="1"/>
    <xf numFmtId="0" fontId="5" fillId="5" borderId="8" xfId="0" applyFont="1" applyFill="1" applyBorder="1" applyAlignment="1">
      <alignment wrapText="1"/>
    </xf>
    <xf numFmtId="0" fontId="6" fillId="2" borderId="0" xfId="0" applyFont="1" applyFill="1"/>
    <xf numFmtId="0" fontId="7" fillId="2" borderId="0" xfId="0" applyFont="1" applyFill="1"/>
    <xf numFmtId="0" fontId="0" fillId="2" borderId="0" xfId="0" applyFill="1" applyAlignment="1">
      <alignment horizontal="left"/>
    </xf>
    <xf numFmtId="0" fontId="1" fillId="5" borderId="2" xfId="0" applyFont="1" applyFill="1" applyBorder="1" applyAlignment="1">
      <alignment horizontal="left" wrapText="1"/>
    </xf>
    <xf numFmtId="164" fontId="0" fillId="2" borderId="0" xfId="0" applyNumberFormat="1" applyFill="1" applyAlignment="1">
      <alignment horizontal="center"/>
    </xf>
    <xf numFmtId="0" fontId="5" fillId="5" borderId="2" xfId="0" applyFont="1" applyFill="1" applyBorder="1" applyAlignment="1">
      <alignment horizontal="left" wrapText="1"/>
    </xf>
    <xf numFmtId="164" fontId="1" fillId="5" borderId="2" xfId="0" applyNumberFormat="1" applyFont="1" applyFill="1" applyBorder="1" applyAlignment="1">
      <alignment horizontal="left" wrapText="1"/>
    </xf>
    <xf numFmtId="0" fontId="0" fillId="2" borderId="0" xfId="0" applyFill="1" applyAlignment="1">
      <alignment horizontal="left" wrapText="1"/>
    </xf>
    <xf numFmtId="164" fontId="0" fillId="4" borderId="2" xfId="0" applyNumberFormat="1" applyFill="1" applyBorder="1" applyAlignment="1">
      <alignment horizontal="center"/>
    </xf>
    <xf numFmtId="0" fontId="0" fillId="7" borderId="2" xfId="0" applyFill="1" applyBorder="1"/>
    <xf numFmtId="0" fontId="8" fillId="2" borderId="0" xfId="0" applyFont="1" applyFill="1"/>
    <xf numFmtId="0" fontId="8" fillId="2" borderId="0" xfId="0" applyFont="1" applyFill="1" applyAlignment="1">
      <alignment wrapText="1"/>
    </xf>
    <xf numFmtId="164" fontId="1" fillId="2" borderId="5" xfId="0" applyNumberFormat="1" applyFont="1" applyFill="1" applyBorder="1" applyAlignment="1">
      <alignment horizontal="center"/>
    </xf>
    <xf numFmtId="0" fontId="1" fillId="5" borderId="2" xfId="0" applyFont="1" applyFill="1" applyBorder="1" applyAlignment="1">
      <alignment horizontal="center" wrapText="1"/>
    </xf>
    <xf numFmtId="164" fontId="1" fillId="5" borderId="2" xfId="0" applyNumberFormat="1" applyFont="1" applyFill="1" applyBorder="1" applyAlignment="1">
      <alignment horizontal="center" wrapText="1"/>
    </xf>
    <xf numFmtId="164" fontId="1" fillId="5" borderId="2" xfId="0" applyNumberFormat="1" applyFont="1" applyFill="1" applyBorder="1" applyAlignment="1">
      <alignment horizontal="center"/>
    </xf>
    <xf numFmtId="0" fontId="5" fillId="2" borderId="7" xfId="0" applyFont="1" applyFill="1" applyBorder="1" applyAlignment="1">
      <alignment horizontal="center" wrapText="1"/>
    </xf>
    <xf numFmtId="0" fontId="0" fillId="2" borderId="0" xfId="0" applyFill="1" applyAlignment="1">
      <alignment horizontal="right"/>
    </xf>
    <xf numFmtId="0" fontId="0" fillId="7" borderId="2" xfId="0" applyFill="1" applyBorder="1" applyProtection="1">
      <protection locked="0"/>
    </xf>
    <xf numFmtId="0" fontId="0" fillId="2" borderId="0" xfId="0" applyFill="1" applyProtection="1">
      <protection locked="0"/>
    </xf>
    <xf numFmtId="0" fontId="0" fillId="4" borderId="2" xfId="0" applyFill="1" applyBorder="1" applyProtection="1">
      <protection locked="0"/>
    </xf>
    <xf numFmtId="0" fontId="0" fillId="2" borderId="2" xfId="0" applyFill="1" applyBorder="1" applyAlignment="1" applyProtection="1">
      <alignment horizontal="center"/>
      <protection locked="0"/>
    </xf>
    <xf numFmtId="0" fontId="1" fillId="2" borderId="0" xfId="0" applyFont="1" applyFill="1"/>
    <xf numFmtId="0" fontId="2" fillId="7" borderId="2" xfId="0" applyFont="1" applyFill="1" applyBorder="1" applyProtection="1">
      <protection locked="0"/>
    </xf>
    <xf numFmtId="0" fontId="6" fillId="2" borderId="0" xfId="0" applyFont="1" applyFill="1" applyAlignment="1">
      <alignment wrapText="1"/>
    </xf>
    <xf numFmtId="0" fontId="0" fillId="2" borderId="2" xfId="0" applyFill="1" applyBorder="1" applyAlignment="1">
      <alignment horizontal="right" vertical="center"/>
    </xf>
    <xf numFmtId="0" fontId="0" fillId="2" borderId="2" xfId="0" applyFill="1" applyBorder="1" applyAlignment="1">
      <alignment horizontal="right"/>
    </xf>
    <xf numFmtId="0" fontId="0" fillId="9" borderId="2" xfId="0" applyFill="1" applyBorder="1"/>
    <xf numFmtId="164" fontId="0" fillId="6" borderId="2" xfId="0" applyNumberFormat="1" applyFill="1" applyBorder="1"/>
    <xf numFmtId="0" fontId="0" fillId="6" borderId="2" xfId="0" applyFill="1" applyBorder="1"/>
    <xf numFmtId="0" fontId="0" fillId="10" borderId="2" xfId="0" applyFill="1" applyBorder="1" applyProtection="1">
      <protection locked="0"/>
    </xf>
    <xf numFmtId="0" fontId="10" fillId="2" borderId="0" xfId="0" applyFont="1" applyFill="1"/>
    <xf numFmtId="0" fontId="11" fillId="2" borderId="0" xfId="0" applyFont="1" applyFill="1"/>
    <xf numFmtId="0" fontId="0" fillId="2" borderId="2" xfId="0" applyFill="1" applyBorder="1" applyAlignment="1" applyProtection="1">
      <alignment horizontal="left"/>
      <protection locked="0"/>
    </xf>
    <xf numFmtId="164" fontId="0" fillId="2" borderId="2" xfId="0" applyNumberFormat="1" applyFill="1" applyBorder="1" applyAlignment="1" applyProtection="1">
      <alignment horizontal="center"/>
      <protection locked="0"/>
    </xf>
    <xf numFmtId="0" fontId="0" fillId="10" borderId="0" xfId="0" applyFill="1" applyProtection="1">
      <protection locked="0"/>
    </xf>
    <xf numFmtId="164" fontId="12" fillId="4" borderId="2" xfId="0" applyNumberFormat="1" applyFont="1" applyFill="1" applyBorder="1" applyAlignment="1">
      <alignment horizontal="center"/>
    </xf>
    <xf numFmtId="164" fontId="12" fillId="0" borderId="0" xfId="0" applyNumberFormat="1" applyFont="1"/>
    <xf numFmtId="0" fontId="0" fillId="0" borderId="0" xfId="0" applyAlignment="1">
      <alignment horizontal="center"/>
    </xf>
    <xf numFmtId="0" fontId="0" fillId="0" borderId="0" xfId="0" applyAlignment="1">
      <alignment horizontal="right"/>
    </xf>
    <xf numFmtId="0" fontId="2" fillId="0" borderId="0" xfId="0" applyFont="1"/>
    <xf numFmtId="0" fontId="14" fillId="0" borderId="0" xfId="0" applyFont="1" applyAlignment="1">
      <alignment vertical="top" wrapText="1"/>
    </xf>
    <xf numFmtId="0" fontId="15" fillId="0" borderId="0" xfId="0" applyFont="1" applyAlignment="1">
      <alignment vertical="top" wrapText="1"/>
    </xf>
    <xf numFmtId="0" fontId="0" fillId="0" borderId="0" xfId="0" applyAlignment="1">
      <alignment vertical="top"/>
    </xf>
    <xf numFmtId="0" fontId="16" fillId="0" borderId="0" xfId="0" applyFont="1" applyAlignment="1">
      <alignment horizontal="center"/>
    </xf>
    <xf numFmtId="0" fontId="16" fillId="0" borderId="0" xfId="0" applyFont="1" applyAlignment="1">
      <alignment horizontal="center" vertical="center"/>
    </xf>
    <xf numFmtId="0" fontId="13" fillId="0" borderId="0" xfId="0" applyFont="1"/>
    <xf numFmtId="0" fontId="17" fillId="0" borderId="0" xfId="0" applyFont="1" applyAlignment="1">
      <alignment horizontal="left" indent="1"/>
    </xf>
    <xf numFmtId="164" fontId="13" fillId="4" borderId="25" xfId="0" applyNumberFormat="1" applyFont="1" applyFill="1" applyBorder="1" applyAlignment="1">
      <alignment horizontal="center"/>
    </xf>
    <xf numFmtId="0" fontId="0" fillId="0" borderId="29" xfId="0" applyBorder="1"/>
    <xf numFmtId="0" fontId="0" fillId="0" borderId="30" xfId="0" applyBorder="1"/>
    <xf numFmtId="0" fontId="16" fillId="0" borderId="20" xfId="0" applyFont="1" applyBorder="1" applyAlignment="1">
      <alignment horizontal="center" vertical="center"/>
    </xf>
    <xf numFmtId="0" fontId="1" fillId="4" borderId="2" xfId="0" applyFont="1" applyFill="1" applyBorder="1" applyAlignment="1">
      <alignment horizontal="right"/>
    </xf>
    <xf numFmtId="0" fontId="0" fillId="2" borderId="2" xfId="0" applyFill="1" applyBorder="1" applyAlignment="1">
      <alignment horizontal="left"/>
    </xf>
    <xf numFmtId="0" fontId="0" fillId="2" borderId="2" xfId="0" applyFill="1" applyBorder="1" applyAlignment="1">
      <alignment horizontal="center"/>
    </xf>
    <xf numFmtId="164" fontId="0" fillId="2" borderId="2" xfId="0" applyNumberFormat="1" applyFill="1" applyBorder="1" applyAlignment="1">
      <alignment horizontal="center"/>
    </xf>
    <xf numFmtId="164" fontId="0" fillId="2" borderId="0" xfId="0" applyNumberFormat="1" applyFill="1"/>
    <xf numFmtId="164" fontId="1" fillId="4" borderId="2" xfId="0" applyNumberFormat="1" applyFont="1" applyFill="1" applyBorder="1" applyAlignment="1">
      <alignment horizontal="center"/>
    </xf>
    <xf numFmtId="0" fontId="1" fillId="2" borderId="0" xfId="0" applyFont="1" applyFill="1" applyAlignment="1" applyProtection="1">
      <alignment horizontal="left"/>
      <protection locked="0"/>
    </xf>
    <xf numFmtId="164" fontId="1" fillId="2" borderId="0" xfId="0" applyNumberFormat="1" applyFont="1" applyFill="1" applyAlignment="1">
      <alignment horizontal="left"/>
    </xf>
    <xf numFmtId="0" fontId="0" fillId="0" borderId="2" xfId="0" applyBorder="1" applyAlignment="1">
      <alignment horizontal="center"/>
    </xf>
    <xf numFmtId="164" fontId="0" fillId="0" borderId="2" xfId="0" applyNumberFormat="1" applyBorder="1" applyAlignment="1">
      <alignment horizontal="center"/>
    </xf>
    <xf numFmtId="0" fontId="0" fillId="0" borderId="2" xfId="0" applyBorder="1" applyAlignment="1" applyProtection="1">
      <alignment horizontal="center"/>
      <protection locked="0"/>
    </xf>
    <xf numFmtId="164" fontId="0" fillId="0" borderId="2" xfId="0" applyNumberFormat="1" applyBorder="1" applyAlignment="1" applyProtection="1">
      <alignment horizontal="center"/>
      <protection locked="0"/>
    </xf>
    <xf numFmtId="0" fontId="1" fillId="5" borderId="2" xfId="0" applyFont="1" applyFill="1" applyBorder="1" applyAlignment="1">
      <alignment horizontal="left"/>
    </xf>
    <xf numFmtId="0" fontId="0" fillId="0" borderId="2" xfId="0" applyBorder="1" applyAlignment="1">
      <alignment horizontal="left"/>
    </xf>
    <xf numFmtId="0" fontId="0" fillId="0" borderId="2" xfId="0" applyBorder="1" applyAlignment="1" applyProtection="1">
      <alignment horizontal="left"/>
      <protection locked="0"/>
    </xf>
    <xf numFmtId="0" fontId="19" fillId="0" borderId="2" xfId="0" applyFont="1" applyBorder="1" applyAlignment="1" applyProtection="1">
      <alignment horizontal="left"/>
      <protection locked="0"/>
    </xf>
    <xf numFmtId="0" fontId="19" fillId="0" borderId="2" xfId="0" applyFont="1" applyBorder="1" applyAlignment="1" applyProtection="1">
      <alignment horizontal="center"/>
      <protection locked="0"/>
    </xf>
    <xf numFmtId="164" fontId="19" fillId="0" borderId="2" xfId="0" applyNumberFormat="1" applyFont="1" applyBorder="1" applyAlignment="1" applyProtection="1">
      <alignment horizontal="center"/>
      <protection locked="0"/>
    </xf>
    <xf numFmtId="49" fontId="0" fillId="2" borderId="0" xfId="0" applyNumberFormat="1" applyFill="1"/>
    <xf numFmtId="165" fontId="0" fillId="2" borderId="0" xfId="0" applyNumberFormat="1" applyFill="1"/>
    <xf numFmtId="0" fontId="15" fillId="0" borderId="2" xfId="0" applyFont="1" applyBorder="1" applyAlignment="1">
      <alignment horizontal="left" vertical="top"/>
    </xf>
    <xf numFmtId="0" fontId="0" fillId="0" borderId="0" xfId="0" applyAlignment="1">
      <alignment horizontal="left"/>
    </xf>
    <xf numFmtId="49" fontId="0" fillId="2" borderId="2" xfId="0" applyNumberFormat="1" applyFill="1" applyBorder="1" applyProtection="1">
      <protection locked="0"/>
    </xf>
    <xf numFmtId="164" fontId="0" fillId="2" borderId="2" xfId="0" applyNumberFormat="1" applyFill="1" applyBorder="1"/>
    <xf numFmtId="0" fontId="17" fillId="0" borderId="13" xfId="0" applyFont="1" applyBorder="1"/>
    <xf numFmtId="0" fontId="21" fillId="3" borderId="1" xfId="1" applyFont="1" applyFill="1" applyBorder="1" applyAlignment="1" applyProtection="1">
      <alignment horizontal="center" vertical="center" wrapText="1"/>
    </xf>
    <xf numFmtId="0" fontId="21" fillId="3" borderId="3" xfId="1" applyFont="1" applyFill="1" applyBorder="1" applyAlignment="1" applyProtection="1">
      <alignment horizontal="center" vertical="center"/>
    </xf>
    <xf numFmtId="164" fontId="1" fillId="4" borderId="2" xfId="0" applyNumberFormat="1" applyFont="1" applyFill="1" applyBorder="1" applyAlignment="1">
      <alignment horizontal="right" indent="1"/>
    </xf>
    <xf numFmtId="164" fontId="1" fillId="4" borderId="9" xfId="0" applyNumberFormat="1" applyFont="1" applyFill="1" applyBorder="1" applyAlignment="1">
      <alignment horizontal="right" indent="1"/>
    </xf>
    <xf numFmtId="0" fontId="1" fillId="7" borderId="2" xfId="0" applyFont="1" applyFill="1" applyBorder="1" applyAlignment="1">
      <alignment horizontal="right" indent="1"/>
    </xf>
    <xf numFmtId="0" fontId="1" fillId="4" borderId="9" xfId="0" applyFont="1" applyFill="1" applyBorder="1"/>
    <xf numFmtId="0" fontId="21" fillId="2" borderId="0" xfId="1" applyFont="1" applyFill="1" applyAlignment="1" applyProtection="1">
      <alignment horizontal="center" vertical="center"/>
    </xf>
    <xf numFmtId="0" fontId="1" fillId="5" borderId="2" xfId="0" applyFont="1" applyFill="1" applyBorder="1" applyAlignment="1" applyProtection="1">
      <alignment wrapText="1"/>
      <protection locked="0"/>
    </xf>
    <xf numFmtId="0" fontId="0" fillId="15" borderId="34" xfId="0" applyFill="1" applyBorder="1" applyAlignment="1">
      <alignment horizontal="center" wrapText="1"/>
    </xf>
    <xf numFmtId="0" fontId="0" fillId="15" borderId="0" xfId="0" applyFill="1" applyAlignment="1">
      <alignment horizontal="center" wrapText="1"/>
    </xf>
    <xf numFmtId="0" fontId="0" fillId="15" borderId="35" xfId="0" applyFill="1" applyBorder="1" applyAlignment="1">
      <alignment horizontal="center" wrapText="1"/>
    </xf>
    <xf numFmtId="0" fontId="0" fillId="15" borderId="34" xfId="0" applyFill="1" applyBorder="1"/>
    <xf numFmtId="0" fontId="0" fillId="15" borderId="0" xfId="0" applyFill="1"/>
    <xf numFmtId="0" fontId="0" fillId="15" borderId="35" xfId="0" applyFill="1" applyBorder="1"/>
    <xf numFmtId="0" fontId="0" fillId="15" borderId="0" xfId="0" applyFill="1" applyAlignment="1">
      <alignment horizontal="left"/>
    </xf>
    <xf numFmtId="0" fontId="0" fillId="15" borderId="35" xfId="0" applyFill="1" applyBorder="1" applyAlignment="1">
      <alignment horizontal="left"/>
    </xf>
    <xf numFmtId="0" fontId="0" fillId="15" borderId="35" xfId="0" applyFill="1" applyBorder="1" applyAlignment="1">
      <alignment horizontal="center"/>
    </xf>
    <xf numFmtId="0" fontId="3" fillId="15" borderId="37" xfId="1" applyFill="1" applyBorder="1" applyAlignment="1" applyProtection="1"/>
    <xf numFmtId="0" fontId="0" fillId="15" borderId="37" xfId="0" applyFill="1" applyBorder="1"/>
    <xf numFmtId="0" fontId="0" fillId="15" borderId="38" xfId="0" applyFill="1" applyBorder="1"/>
    <xf numFmtId="164" fontId="19" fillId="0" borderId="2" xfId="0" applyNumberFormat="1" applyFont="1" applyBorder="1" applyAlignment="1">
      <alignment horizontal="center"/>
    </xf>
    <xf numFmtId="0" fontId="23" fillId="2" borderId="0" xfId="0" applyFont="1" applyFill="1" applyAlignment="1">
      <alignment horizontal="left" vertical="center" wrapText="1"/>
    </xf>
    <xf numFmtId="164" fontId="23" fillId="4" borderId="9" xfId="0" applyNumberFormat="1" applyFont="1" applyFill="1" applyBorder="1" applyAlignment="1">
      <alignment horizontal="center" vertical="center"/>
    </xf>
    <xf numFmtId="164" fontId="0" fillId="4" borderId="2" xfId="0" applyNumberFormat="1" applyFill="1" applyBorder="1" applyAlignment="1">
      <alignment horizontal="left"/>
    </xf>
    <xf numFmtId="0" fontId="1" fillId="4" borderId="2" xfId="0" applyFont="1" applyFill="1" applyBorder="1" applyAlignment="1" applyProtection="1">
      <alignment horizontal="right"/>
      <protection locked="0"/>
    </xf>
    <xf numFmtId="0" fontId="27"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16" borderId="0" xfId="0" applyFill="1" applyAlignment="1">
      <alignment horizontal="left"/>
    </xf>
    <xf numFmtId="0" fontId="0" fillId="16" borderId="0" xfId="0" applyFill="1" applyAlignment="1">
      <alignment horizontal="center"/>
    </xf>
    <xf numFmtId="164" fontId="0" fillId="16" borderId="0" xfId="0" applyNumberFormat="1" applyFill="1" applyAlignment="1">
      <alignment horizontal="center"/>
    </xf>
    <xf numFmtId="0" fontId="0" fillId="16" borderId="0" xfId="0" applyFill="1"/>
    <xf numFmtId="0" fontId="0" fillId="16" borderId="0" xfId="0" applyFill="1" applyProtection="1">
      <protection locked="0"/>
    </xf>
    <xf numFmtId="164" fontId="0" fillId="16" borderId="0" xfId="0" applyNumberFormat="1" applyFill="1"/>
    <xf numFmtId="0" fontId="29" fillId="0" borderId="2" xfId="0" applyFont="1" applyBorder="1"/>
    <xf numFmtId="0" fontId="26" fillId="17" borderId="2" xfId="0" applyFont="1" applyFill="1" applyBorder="1" applyAlignment="1">
      <alignment horizontal="right" wrapText="1"/>
    </xf>
    <xf numFmtId="0" fontId="26" fillId="17" borderId="2" xfId="0" applyFont="1" applyFill="1" applyBorder="1" applyAlignment="1">
      <alignment wrapText="1"/>
    </xf>
    <xf numFmtId="0" fontId="26" fillId="0" borderId="2" xfId="0" applyFont="1" applyBorder="1" applyAlignment="1">
      <alignment wrapText="1"/>
    </xf>
    <xf numFmtId="0" fontId="30" fillId="0" borderId="0" xfId="0" applyFont="1" applyAlignment="1">
      <alignment vertical="center"/>
    </xf>
    <xf numFmtId="0" fontId="5" fillId="5" borderId="40" xfId="0" applyFont="1" applyFill="1" applyBorder="1" applyAlignment="1">
      <alignment wrapText="1"/>
    </xf>
    <xf numFmtId="0" fontId="0" fillId="2" borderId="10" xfId="0" applyFill="1" applyBorder="1"/>
    <xf numFmtId="0" fontId="0" fillId="2" borderId="41" xfId="0" applyFill="1" applyBorder="1" applyProtection="1">
      <protection locked="0"/>
    </xf>
    <xf numFmtId="0" fontId="0" fillId="9" borderId="2" xfId="0" applyFill="1" applyBorder="1" applyProtection="1">
      <protection locked="0"/>
    </xf>
    <xf numFmtId="0" fontId="31" fillId="0" borderId="42" xfId="0" applyFont="1" applyBorder="1"/>
    <xf numFmtId="0" fontId="0" fillId="2" borderId="0" xfId="0" applyFill="1" applyProtection="1">
      <protection hidden="1"/>
    </xf>
    <xf numFmtId="0" fontId="21" fillId="3" borderId="1" xfId="1" applyFont="1" applyFill="1" applyBorder="1" applyAlignment="1" applyProtection="1">
      <alignment horizontal="center" vertical="center" wrapText="1"/>
      <protection hidden="1"/>
    </xf>
    <xf numFmtId="0" fontId="0" fillId="2" borderId="0" xfId="0" applyFill="1" applyAlignment="1" applyProtection="1">
      <alignment wrapText="1"/>
      <protection hidden="1"/>
    </xf>
    <xf numFmtId="0" fontId="6" fillId="2" borderId="0" xfId="0" applyFont="1" applyFill="1" applyProtection="1">
      <protection hidden="1"/>
    </xf>
    <xf numFmtId="0" fontId="2" fillId="2" borderId="0" xfId="0" applyFont="1" applyFill="1" applyProtection="1">
      <protection hidden="1"/>
    </xf>
    <xf numFmtId="0" fontId="1" fillId="5" borderId="2" xfId="0" applyFont="1" applyFill="1" applyBorder="1" applyAlignment="1" applyProtection="1">
      <alignment wrapText="1"/>
      <protection hidden="1"/>
    </xf>
    <xf numFmtId="0" fontId="1" fillId="5" borderId="2" xfId="0" applyFont="1" applyFill="1" applyBorder="1" applyProtection="1">
      <protection hidden="1"/>
    </xf>
    <xf numFmtId="0" fontId="0" fillId="2" borderId="2" xfId="0" applyFill="1" applyBorder="1" applyAlignment="1" applyProtection="1">
      <alignment wrapText="1"/>
      <protection hidden="1"/>
    </xf>
    <xf numFmtId="0" fontId="1" fillId="4" borderId="2" xfId="0" applyFont="1" applyFill="1" applyBorder="1" applyProtection="1">
      <protection hidden="1"/>
    </xf>
    <xf numFmtId="0" fontId="0" fillId="4" borderId="2" xfId="0" applyFill="1" applyBorder="1" applyProtection="1">
      <protection hidden="1"/>
    </xf>
    <xf numFmtId="0" fontId="5" fillId="5" borderId="8" xfId="0" applyFont="1" applyFill="1" applyBorder="1" applyAlignment="1" applyProtection="1">
      <alignment wrapText="1"/>
      <protection hidden="1"/>
    </xf>
    <xf numFmtId="0" fontId="1" fillId="4" borderId="9" xfId="0" applyFont="1" applyFill="1" applyBorder="1" applyProtection="1">
      <protection hidden="1"/>
    </xf>
    <xf numFmtId="0" fontId="8" fillId="2" borderId="0" xfId="0" applyFont="1" applyFill="1" applyProtection="1">
      <protection locked="0" hidden="1"/>
    </xf>
    <xf numFmtId="0" fontId="0" fillId="2" borderId="0" xfId="0" applyFill="1" applyProtection="1">
      <protection locked="0" hidden="1"/>
    </xf>
    <xf numFmtId="0" fontId="21" fillId="3" borderId="1" xfId="1" applyFont="1" applyFill="1" applyBorder="1" applyAlignment="1" applyProtection="1">
      <alignment horizontal="center" vertical="center" wrapText="1"/>
      <protection locked="0" hidden="1"/>
    </xf>
    <xf numFmtId="0" fontId="0" fillId="2" borderId="0" xfId="0" applyFill="1" applyAlignment="1" applyProtection="1">
      <alignment wrapText="1"/>
      <protection locked="0" hidden="1"/>
    </xf>
    <xf numFmtId="0" fontId="0" fillId="7" borderId="2" xfId="0" applyFill="1" applyBorder="1" applyProtection="1">
      <protection locked="0" hidden="1"/>
    </xf>
    <xf numFmtId="0" fontId="0" fillId="2" borderId="2" xfId="0" applyFill="1" applyBorder="1" applyProtection="1">
      <protection locked="0" hidden="1"/>
    </xf>
    <xf numFmtId="0" fontId="0" fillId="2" borderId="2" xfId="0" applyFill="1" applyBorder="1" applyAlignment="1" applyProtection="1">
      <alignment wrapText="1"/>
      <protection locked="0" hidden="1"/>
    </xf>
    <xf numFmtId="0" fontId="0" fillId="9" borderId="2" xfId="0" applyFill="1" applyBorder="1" applyProtection="1">
      <protection locked="0" hidden="1"/>
    </xf>
    <xf numFmtId="0" fontId="8" fillId="13" borderId="0" xfId="0" applyFont="1" applyFill="1" applyAlignment="1">
      <alignment horizontal="center"/>
    </xf>
    <xf numFmtId="0" fontId="0" fillId="15" borderId="36" xfId="0" applyFill="1" applyBorder="1" applyAlignment="1">
      <alignment horizontal="center"/>
    </xf>
    <xf numFmtId="0" fontId="0" fillId="15" borderId="37" xfId="0" applyFill="1" applyBorder="1" applyAlignment="1">
      <alignment horizontal="center"/>
    </xf>
    <xf numFmtId="0" fontId="0" fillId="14" borderId="0" xfId="0" applyFill="1" applyAlignment="1">
      <alignment horizontal="center" vertical="center" wrapText="1"/>
    </xf>
    <xf numFmtId="0" fontId="0" fillId="15" borderId="31" xfId="0" applyFill="1" applyBorder="1" applyAlignment="1">
      <alignment horizontal="center" vertical="center" wrapText="1"/>
    </xf>
    <xf numFmtId="0" fontId="0" fillId="15" borderId="32" xfId="0" applyFill="1" applyBorder="1" applyAlignment="1">
      <alignment horizontal="center" vertical="center" wrapText="1"/>
    </xf>
    <xf numFmtId="0" fontId="0" fillId="15" borderId="33" xfId="0" applyFill="1" applyBorder="1" applyAlignment="1">
      <alignment horizontal="center" vertical="center" wrapText="1"/>
    </xf>
    <xf numFmtId="0" fontId="0" fillId="15" borderId="34" xfId="0" applyFill="1" applyBorder="1" applyAlignment="1">
      <alignment horizontal="center" vertical="center" wrapText="1"/>
    </xf>
    <xf numFmtId="0" fontId="0" fillId="15" borderId="0" xfId="0" applyFill="1" applyAlignment="1">
      <alignment horizontal="center" vertical="center" wrapText="1"/>
    </xf>
    <xf numFmtId="0" fontId="0" fillId="15" borderId="35" xfId="0" applyFill="1" applyBorder="1" applyAlignment="1">
      <alignment horizontal="center" vertical="center" wrapText="1"/>
    </xf>
    <xf numFmtId="0" fontId="0" fillId="15" borderId="36" xfId="0" applyFill="1" applyBorder="1" applyAlignment="1">
      <alignment horizontal="center" vertical="center" wrapText="1"/>
    </xf>
    <xf numFmtId="0" fontId="0" fillId="15" borderId="37" xfId="0" applyFill="1" applyBorder="1" applyAlignment="1">
      <alignment horizontal="center" vertical="center" wrapText="1"/>
    </xf>
    <xf numFmtId="0" fontId="0" fillId="15" borderId="38" xfId="0" applyFill="1" applyBorder="1" applyAlignment="1">
      <alignment horizontal="center" vertical="center" wrapText="1"/>
    </xf>
    <xf numFmtId="0" fontId="22" fillId="0" borderId="0" xfId="0" applyFont="1" applyAlignment="1">
      <alignment horizontal="center" wrapText="1"/>
    </xf>
    <xf numFmtId="0" fontId="28" fillId="14" borderId="0" xfId="0" applyFont="1" applyFill="1" applyAlignment="1">
      <alignment horizontal="center" vertical="center" wrapText="1"/>
    </xf>
    <xf numFmtId="0" fontId="0" fillId="15" borderId="31" xfId="0" applyFill="1" applyBorder="1" applyAlignment="1">
      <alignment horizontal="center" wrapText="1"/>
    </xf>
    <xf numFmtId="0" fontId="0" fillId="15" borderId="32" xfId="0" applyFill="1" applyBorder="1" applyAlignment="1">
      <alignment horizontal="center" wrapText="1"/>
    </xf>
    <xf numFmtId="0" fontId="0" fillId="15" borderId="33" xfId="0" applyFill="1" applyBorder="1" applyAlignment="1">
      <alignment horizontal="center" wrapText="1"/>
    </xf>
    <xf numFmtId="0" fontId="0" fillId="15" borderId="34" xfId="0" applyFill="1" applyBorder="1" applyAlignment="1">
      <alignment horizontal="center" wrapText="1"/>
    </xf>
    <xf numFmtId="0" fontId="0" fillId="15" borderId="0" xfId="0" applyFill="1" applyAlignment="1">
      <alignment horizontal="center" wrapText="1"/>
    </xf>
    <xf numFmtId="0" fontId="0" fillId="15" borderId="35" xfId="0" applyFill="1" applyBorder="1" applyAlignment="1">
      <alignment horizontal="center" wrapText="1"/>
    </xf>
    <xf numFmtId="0" fontId="0" fillId="15" borderId="34" xfId="0" applyFill="1" applyBorder="1" applyAlignment="1">
      <alignment horizontal="center"/>
    </xf>
    <xf numFmtId="0" fontId="0" fillId="15" borderId="0" xfId="0" applyFill="1" applyAlignment="1">
      <alignment horizontal="center"/>
    </xf>
    <xf numFmtId="0" fontId="0" fillId="15" borderId="35" xfId="0" applyFill="1" applyBorder="1" applyAlignment="1">
      <alignment horizontal="center"/>
    </xf>
    <xf numFmtId="0" fontId="0" fillId="15" borderId="0" xfId="0" applyFill="1" applyAlignment="1">
      <alignment horizontal="left"/>
    </xf>
    <xf numFmtId="0" fontId="0" fillId="15" borderId="35" xfId="0" applyFill="1" applyBorder="1" applyAlignment="1">
      <alignment horizontal="left"/>
    </xf>
    <xf numFmtId="0" fontId="18" fillId="2" borderId="0" xfId="0" applyFont="1" applyFill="1" applyAlignment="1">
      <alignment horizontal="left" vertical="top" wrapText="1"/>
    </xf>
    <xf numFmtId="0" fontId="1" fillId="9" borderId="0" xfId="0" applyFont="1" applyFill="1" applyAlignment="1">
      <alignment horizontal="center" wrapText="1"/>
    </xf>
    <xf numFmtId="0" fontId="1" fillId="9" borderId="0" xfId="0" applyFont="1" applyFill="1" applyAlignment="1">
      <alignment horizontal="center"/>
    </xf>
    <xf numFmtId="0" fontId="8" fillId="8" borderId="0" xfId="0" applyFont="1" applyFill="1" applyAlignment="1">
      <alignment horizontal="center"/>
    </xf>
    <xf numFmtId="0" fontId="0" fillId="2" borderId="14" xfId="0" applyFill="1" applyBorder="1" applyAlignment="1">
      <alignment wrapText="1"/>
    </xf>
    <xf numFmtId="0" fontId="0" fillId="2" borderId="15" xfId="0" applyFill="1" applyBorder="1" applyAlignment="1">
      <alignment wrapText="1"/>
    </xf>
    <xf numFmtId="0" fontId="8" fillId="8" borderId="0" xfId="0" applyFont="1" applyFill="1" applyAlignment="1" applyProtection="1">
      <alignment horizontal="center"/>
      <protection hidden="1"/>
    </xf>
    <xf numFmtId="0" fontId="0" fillId="2" borderId="0" xfId="0" applyFill="1" applyAlignment="1">
      <alignment horizontal="left" vertical="top" wrapText="1"/>
    </xf>
    <xf numFmtId="0" fontId="1" fillId="2" borderId="21" xfId="0" applyFont="1" applyFill="1" applyBorder="1" applyAlignment="1">
      <alignment horizontal="center" wrapText="1"/>
    </xf>
    <xf numFmtId="0" fontId="1" fillId="2" borderId="39" xfId="0" applyFont="1" applyFill="1" applyBorder="1" applyAlignment="1">
      <alignment horizontal="center" wrapText="1"/>
    </xf>
    <xf numFmtId="0" fontId="0" fillId="0" borderId="0" xfId="0" applyAlignment="1">
      <alignment horizontal="right" indent="1"/>
    </xf>
    <xf numFmtId="49" fontId="0" fillId="11" borderId="0" xfId="0" applyNumberFormat="1" applyFill="1" applyAlignment="1">
      <alignment horizontal="left" indent="1"/>
    </xf>
    <xf numFmtId="0" fontId="0" fillId="11" borderId="0" xfId="0" applyFill="1" applyAlignment="1">
      <alignment horizontal="left" indent="1"/>
    </xf>
    <xf numFmtId="0" fontId="0" fillId="0" borderId="0" xfId="0" applyAlignment="1">
      <alignment horizontal="left" indent="1"/>
    </xf>
    <xf numFmtId="0" fontId="15" fillId="0" borderId="10" xfId="0" applyFont="1" applyBorder="1" applyAlignment="1">
      <alignment horizontal="left" vertical="top"/>
    </xf>
    <xf numFmtId="0" fontId="15" fillId="0" borderId="12" xfId="0" applyFont="1" applyBorder="1" applyAlignment="1">
      <alignment horizontal="left" vertical="top"/>
    </xf>
    <xf numFmtId="0" fontId="15" fillId="0" borderId="11" xfId="0" applyFont="1" applyBorder="1" applyAlignment="1">
      <alignment horizontal="left" vertical="top"/>
    </xf>
    <xf numFmtId="0" fontId="15" fillId="0" borderId="10" xfId="0" applyFont="1" applyBorder="1" applyAlignment="1">
      <alignment horizontal="center" vertical="top"/>
    </xf>
    <xf numFmtId="0" fontId="15" fillId="0" borderId="12" xfId="0" applyFont="1" applyBorder="1" applyAlignment="1">
      <alignment horizontal="center" vertical="top"/>
    </xf>
    <xf numFmtId="0" fontId="15" fillId="0" borderId="11" xfId="0" applyFont="1" applyBorder="1" applyAlignment="1">
      <alignment horizontal="center" vertical="top"/>
    </xf>
    <xf numFmtId="0" fontId="15" fillId="0" borderId="2" xfId="0" applyFont="1" applyBorder="1" applyAlignment="1">
      <alignment horizontal="left" vertical="top"/>
    </xf>
    <xf numFmtId="0" fontId="16" fillId="0" borderId="20" xfId="0" applyFont="1" applyBorder="1" applyAlignment="1">
      <alignment horizontal="center" vertical="center"/>
    </xf>
    <xf numFmtId="0" fontId="15" fillId="0" borderId="21" xfId="0" applyFont="1" applyBorder="1" applyAlignment="1">
      <alignment horizontal="left" vertical="top" wrapText="1"/>
    </xf>
    <xf numFmtId="0" fontId="15" fillId="0" borderId="19"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3" xfId="0" applyFont="1" applyBorder="1" applyAlignment="1">
      <alignment horizontal="left" vertical="top" wrapText="1"/>
    </xf>
    <xf numFmtId="0" fontId="15" fillId="0" borderId="24" xfId="0" applyFont="1" applyBorder="1" applyAlignment="1">
      <alignment horizontal="left" vertical="top" wrapText="1"/>
    </xf>
    <xf numFmtId="0" fontId="15" fillId="0" borderId="2" xfId="0" applyFont="1" applyBorder="1" applyAlignment="1">
      <alignment horizontal="left" vertical="top" wrapText="1"/>
    </xf>
    <xf numFmtId="0" fontId="15" fillId="0" borderId="10" xfId="0" applyFont="1" applyBorder="1" applyAlignment="1">
      <alignment horizontal="left" vertical="top" wrapText="1"/>
    </xf>
    <xf numFmtId="0" fontId="15" fillId="0" borderId="12" xfId="0" applyFont="1" applyBorder="1" applyAlignment="1">
      <alignment horizontal="left" vertical="top" wrapText="1"/>
    </xf>
    <xf numFmtId="0" fontId="15" fillId="0" borderId="11" xfId="0" applyFont="1" applyBorder="1" applyAlignment="1">
      <alignment horizontal="left" vertical="top" wrapText="1"/>
    </xf>
    <xf numFmtId="0" fontId="15" fillId="0" borderId="10" xfId="0" applyFont="1" applyBorder="1" applyAlignment="1">
      <alignment horizontal="left"/>
    </xf>
    <xf numFmtId="0" fontId="15" fillId="0" borderId="12" xfId="0" applyFont="1" applyBorder="1" applyAlignment="1">
      <alignment horizontal="left"/>
    </xf>
    <xf numFmtId="0" fontId="15" fillId="0" borderId="11" xfId="0" applyFont="1" applyBorder="1" applyAlignment="1">
      <alignment horizontal="left"/>
    </xf>
    <xf numFmtId="0" fontId="16" fillId="0" borderId="0" xfId="0" applyFont="1" applyAlignment="1">
      <alignment horizontal="center" vertical="center"/>
    </xf>
    <xf numFmtId="0" fontId="2" fillId="0" borderId="19" xfId="0" applyFont="1" applyBorder="1" applyAlignment="1">
      <alignment horizontal="center"/>
    </xf>
    <xf numFmtId="0" fontId="13" fillId="0" borderId="0" xfId="0" applyFont="1" applyAlignment="1">
      <alignment horizontal="right"/>
    </xf>
    <xf numFmtId="164" fontId="13" fillId="0" borderId="27" xfId="0" applyNumberFormat="1" applyFont="1" applyBorder="1" applyAlignment="1">
      <alignment horizontal="center"/>
    </xf>
    <xf numFmtId="164" fontId="13" fillId="0" borderId="28" xfId="0" applyNumberFormat="1" applyFont="1" applyBorder="1" applyAlignment="1">
      <alignment horizontal="center"/>
    </xf>
    <xf numFmtId="0" fontId="13" fillId="0" borderId="0" xfId="0" applyFont="1"/>
    <xf numFmtId="164" fontId="13" fillId="0" borderId="26" xfId="0" applyNumberFormat="1" applyFont="1" applyBorder="1" applyAlignment="1">
      <alignment horizontal="center"/>
    </xf>
    <xf numFmtId="49" fontId="12" fillId="12" borderId="13" xfId="0" applyNumberFormat="1" applyFont="1" applyFill="1" applyBorder="1" applyAlignment="1" applyProtection="1">
      <alignment horizontal="left"/>
      <protection locked="0"/>
    </xf>
    <xf numFmtId="49" fontId="12" fillId="12" borderId="13" xfId="0" quotePrefix="1" applyNumberFormat="1" applyFont="1" applyFill="1" applyBorder="1" applyAlignment="1" applyProtection="1">
      <alignment horizontal="left"/>
      <protection locked="0"/>
    </xf>
    <xf numFmtId="0" fontId="17" fillId="0" borderId="13" xfId="0" applyFont="1" applyBorder="1" applyAlignment="1">
      <alignment horizontal="left" indent="1"/>
    </xf>
    <xf numFmtId="0" fontId="0" fillId="12" borderId="0" xfId="0" applyFill="1" applyAlignment="1" applyProtection="1">
      <alignment horizontal="center"/>
      <protection locked="0"/>
    </xf>
    <xf numFmtId="0" fontId="0" fillId="12" borderId="13" xfId="0" applyFill="1" applyBorder="1" applyAlignment="1" applyProtection="1">
      <alignment horizontal="center"/>
      <protection locked="0"/>
    </xf>
    <xf numFmtId="164" fontId="0" fillId="0" borderId="0" xfId="0" applyNumberFormat="1" applyAlignment="1">
      <alignment horizontal="left" indent="1"/>
    </xf>
    <xf numFmtId="0" fontId="3" fillId="2" borderId="0" xfId="1" applyFill="1" applyBorder="1" applyAlignment="1" applyProtection="1">
      <alignment horizontal="center"/>
    </xf>
    <xf numFmtId="0" fontId="1" fillId="2" borderId="0" xfId="0" applyFont="1" applyFill="1" applyAlignment="1">
      <alignment horizontal="center"/>
    </xf>
    <xf numFmtId="0" fontId="13" fillId="0" borderId="0" xfId="0" applyFont="1" applyAlignment="1">
      <alignment horizontal="center"/>
    </xf>
    <xf numFmtId="0" fontId="12" fillId="0" borderId="16" xfId="0" applyFont="1" applyBorder="1" applyAlignment="1">
      <alignment horizontal="left" indent="1"/>
    </xf>
    <xf numFmtId="0" fontId="12" fillId="0" borderId="17" xfId="0" applyFont="1" applyBorder="1" applyAlignment="1">
      <alignment horizontal="left" indent="1"/>
    </xf>
    <xf numFmtId="0" fontId="12" fillId="0" borderId="18" xfId="0" applyFont="1" applyBorder="1" applyAlignment="1">
      <alignment horizontal="left" indent="1"/>
    </xf>
    <xf numFmtId="0" fontId="12" fillId="0" borderId="0" xfId="0" applyFont="1"/>
    <xf numFmtId="164" fontId="12" fillId="0" borderId="0" xfId="0" applyNumberFormat="1" applyFont="1" applyAlignment="1">
      <alignment horizontal="left"/>
    </xf>
    <xf numFmtId="0" fontId="0" fillId="2" borderId="0" xfId="0" applyFill="1" applyAlignment="1">
      <alignment horizontal="center"/>
    </xf>
    <xf numFmtId="164" fontId="12" fillId="0" borderId="16" xfId="0" applyNumberFormat="1" applyFont="1" applyBorder="1" applyAlignment="1">
      <alignment horizontal="center"/>
    </xf>
    <xf numFmtId="164" fontId="12" fillId="0" borderId="18" xfId="0" applyNumberFormat="1" applyFont="1" applyBorder="1" applyAlignment="1">
      <alignment horizontal="center"/>
    </xf>
    <xf numFmtId="0" fontId="11" fillId="0" borderId="0" xfId="0" applyFont="1" applyAlignment="1">
      <alignment horizontal="left" vertical="center" wrapText="1"/>
    </xf>
    <xf numFmtId="0" fontId="0" fillId="2" borderId="2" xfId="0" applyFill="1" applyBorder="1" applyAlignment="1" applyProtection="1">
      <alignment horizontal="center"/>
    </xf>
  </cellXfs>
  <cellStyles count="3">
    <cellStyle name="Hyperlink" xfId="1" builtinId="8"/>
    <cellStyle name="Normal" xfId="0" builtinId="0"/>
    <cellStyle name="Normal 2" xfId="2" xr:uid="{00000000-0005-0000-0000-000002000000}"/>
  </cellStyles>
  <dxfs count="770">
    <dxf>
      <fill>
        <patternFill>
          <bgColor theme="4" tint="0.79998168889431442"/>
        </patternFill>
      </fill>
    </dxf>
    <dxf>
      <font>
        <b/>
        <i val="0"/>
        <color theme="0"/>
      </font>
      <fill>
        <patternFill>
          <bgColor theme="3"/>
        </patternFill>
      </fill>
    </dxf>
    <dxf>
      <font>
        <b/>
        <i val="0"/>
        <color theme="0"/>
      </font>
      <fill>
        <patternFill>
          <bgColor theme="3"/>
        </patternFill>
      </fill>
    </dxf>
    <dxf>
      <font>
        <b/>
        <i val="0"/>
        <color theme="0"/>
      </font>
      <fill>
        <patternFill>
          <bgColor theme="3"/>
        </patternFill>
      </fill>
    </dxf>
    <dxf>
      <font>
        <b/>
        <i val="0"/>
        <color rgb="FFC00000"/>
      </font>
      <border>
        <left style="dashDot">
          <color rgb="FFC00000"/>
        </left>
        <right style="dashDot">
          <color rgb="FFC00000"/>
        </right>
        <top style="dashDot">
          <color rgb="FFC00000"/>
        </top>
        <bottom style="dashDot">
          <color rgb="FFC00000"/>
        </bottom>
        <vertical/>
        <horizontal/>
      </border>
    </dxf>
    <dxf>
      <font>
        <b/>
        <i val="0"/>
        <color rgb="FFC00000"/>
      </font>
      <border>
        <left style="dashDot">
          <color rgb="FFC00000"/>
        </left>
        <right style="dashDot">
          <color rgb="FFC00000"/>
        </right>
        <top style="dashDot">
          <color rgb="FFC00000"/>
        </top>
        <bottom style="dashDot">
          <color rgb="FFC00000"/>
        </bottom>
        <vertical/>
        <horizontal/>
      </border>
    </dxf>
    <dxf>
      <border>
        <left style="dashDot">
          <color rgb="FFC00000"/>
        </left>
        <right style="dashDot">
          <color rgb="FFC00000"/>
        </right>
        <top style="dashDot">
          <color rgb="FFC00000"/>
        </top>
        <bottom style="dashDot">
          <color rgb="FFC00000"/>
        </bottom>
        <vertical/>
        <horizontal/>
      </border>
    </dxf>
    <dxf>
      <font>
        <b/>
        <i val="0"/>
        <color rgb="FFFFFFFF"/>
      </font>
      <fill>
        <patternFill>
          <fgColor indexed="64"/>
          <bgColor theme="3"/>
        </patternFill>
      </fill>
      <border>
        <left style="thin">
          <color auto="1"/>
        </left>
        <right style="thin">
          <color auto="1"/>
        </right>
        <top style="thin">
          <color auto="1"/>
        </top>
        <bottom style="thin">
          <color auto="1"/>
        </bottom>
      </border>
    </dxf>
    <dxf>
      <font>
        <b/>
        <i val="0"/>
        <color theme="0"/>
      </font>
      <fill>
        <patternFill>
          <bgColor theme="3"/>
        </patternFill>
      </fill>
    </dxf>
    <dxf>
      <fill>
        <patternFill>
          <bgColor rgb="FFFFC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fgColor indexed="64"/>
          <bgColor rgb="FFFF0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bgColor theme="3" tint="0.59996337778862885"/>
        </patternFill>
      </fill>
    </dxf>
    <dxf>
      <fill>
        <patternFill>
          <bgColor rgb="FFFF0000"/>
        </patternFill>
      </fill>
    </dxf>
    <dxf>
      <fill>
        <patternFill>
          <bgColor theme="3" tint="0.39994506668294322"/>
        </patternFill>
      </fill>
    </dxf>
    <dxf>
      <fill>
        <patternFill>
          <fgColor indexed="64"/>
          <bgColor rgb="FFFF0000"/>
        </patternFill>
      </fill>
    </dxf>
    <dxf>
      <fill>
        <patternFill>
          <bgColor rgb="FFFF0000"/>
        </patternFill>
      </fill>
    </dxf>
    <dxf>
      <fill>
        <patternFill>
          <bgColor theme="3" tint="0.399945066682943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rgb="FFFF0000"/>
        </patternFill>
      </fill>
    </dxf>
    <dxf>
      <fill>
        <patternFill>
          <fgColor indexed="64"/>
          <bgColor theme="3" tint="0.39991454817346722"/>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fgColor indexed="64"/>
          <bgColor rgb="FFFF0000"/>
        </patternFill>
      </fill>
    </dxf>
    <dxf>
      <fill>
        <patternFill>
          <bgColor theme="3" tint="0.59996337778862885"/>
        </patternFill>
      </fill>
    </dxf>
    <dxf>
      <fill>
        <patternFill>
          <bgColor theme="3" tint="0.59996337778862885"/>
        </patternFill>
      </fill>
    </dxf>
    <dxf>
      <fill>
        <patternFill>
          <bgColor rgb="FF00B05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bgColor theme="3" tint="0.39994506668294322"/>
        </patternFill>
      </fill>
    </dxf>
    <dxf>
      <fill>
        <patternFill>
          <bgColor rgb="FFFF0000"/>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fgColor indexed="64"/>
          <bgColor theme="3" tint="0.39991454817346722"/>
        </patternFill>
      </fill>
    </dxf>
    <dxf>
      <fill>
        <patternFill>
          <bgColor rgb="FFFF0000"/>
        </patternFill>
      </fill>
    </dxf>
    <dxf>
      <fill>
        <patternFill>
          <bgColor theme="3" tint="0.59996337778862885"/>
        </patternFill>
      </fill>
    </dxf>
    <dxf>
      <font>
        <b/>
        <i val="0"/>
        <color theme="0"/>
      </font>
      <fill>
        <patternFill>
          <bgColor rgb="FF00B050"/>
        </patternFill>
      </fill>
    </dxf>
  </dxfs>
  <tableStyles count="0" defaultTableStyle="TableStyleMedium9" defaultPivotStyle="PivotStyleLight16"/>
  <colors>
    <mruColors>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CheckBox" fmlaLink="$R$487" lockText="1" noThreeD="1"/>
</file>

<file path=xl/ctrlProps/ctrlProp4.xml><?xml version="1.0" encoding="utf-8"?>
<formControlPr xmlns="http://schemas.microsoft.com/office/spreadsheetml/2009/9/main" objectType="CheckBox" fmlaLink="$R$488" lockText="1" noThreeD="1"/>
</file>

<file path=xl/ctrlProps/ctrlProp5.xml><?xml version="1.0" encoding="utf-8"?>
<formControlPr xmlns="http://schemas.microsoft.com/office/spreadsheetml/2009/9/main" objectType="CheckBox" fmlaLink="$R$489" lockText="1" noThreeD="1"/>
</file>

<file path=xl/ctrlProps/ctrlProp6.xml><?xml version="1.0" encoding="utf-8"?>
<formControlPr xmlns="http://schemas.microsoft.com/office/spreadsheetml/2009/9/main" objectType="CheckBox" fmlaLink="$R$490" lockText="1" noThreeD="1"/>
</file>

<file path=xl/ctrlProps/ctrlProp7.xml><?xml version="1.0" encoding="utf-8"?>
<formControlPr xmlns="http://schemas.microsoft.com/office/spreadsheetml/2009/9/main" objectType="CheckBox" fmlaLink="$R$491" lockText="1" noThreeD="1"/>
</file>

<file path=xl/ctrlProps/ctrlProp8.xml><?xml version="1.0" encoding="utf-8"?>
<formControlPr xmlns="http://schemas.microsoft.com/office/spreadsheetml/2009/9/main" objectType="CheckBox" fmlaLink="$R$492" lockText="1" noThreeD="1"/>
</file>

<file path=xl/ctrlProps/ctrlProp9.xml><?xml version="1.0" encoding="utf-8"?>
<formControlPr xmlns="http://schemas.microsoft.com/office/spreadsheetml/2009/9/main" objectType="CheckBox" fmlaLink="$R$493" lockText="1" noThreeD="1"/>
</file>

<file path=xl/ctrlProps/ctrlProp10.xml><?xml version="1.0" encoding="utf-8"?>
<formControlPr xmlns="http://schemas.microsoft.com/office/spreadsheetml/2009/9/main" objectType="CheckBox" fmlaLink="$R$494" lockText="1" noThreeD="1"/>
</file>

<file path=xl/ctrlProps/ctrlProp11.xml><?xml version="1.0" encoding="utf-8"?>
<formControlPr xmlns="http://schemas.microsoft.com/office/spreadsheetml/2009/9/main" objectType="CheckBox" fmlaLink="$R$495" lockText="1" noThreeD="1"/>
</file>

<file path=xl/ctrlProps/ctrlProp12.xml><?xml version="1.0" encoding="utf-8"?>
<formControlPr xmlns="http://schemas.microsoft.com/office/spreadsheetml/2009/9/main" objectType="CheckBox" fmlaLink="$R$496" lockText="1" noThreeD="1"/>
</file>

<file path=xl/ctrlProps/ctrlProp13.xml><?xml version="1.0" encoding="utf-8"?>
<formControlPr xmlns="http://schemas.microsoft.com/office/spreadsheetml/2009/9/main" objectType="CheckBox" fmlaLink="$R$497" lockText="1" noThreeD="1"/>
</file>

<file path=xl/ctrlProps/ctrlProp14.xml><?xml version="1.0" encoding="utf-8"?>
<formControlPr xmlns="http://schemas.microsoft.com/office/spreadsheetml/2009/9/main" objectType="CheckBox" fmlaLink="$R$498" lockText="1" noThreeD="1"/>
</file>

<file path=xl/ctrlProps/ctrlProp15.xml><?xml version="1.0" encoding="utf-8"?>
<formControlPr xmlns="http://schemas.microsoft.com/office/spreadsheetml/2009/9/main" objectType="CheckBox" fmlaLink="$R$499" lockText="1" noThreeD="1"/>
</file>

<file path=xl/ctrlProps/ctrlProp16.xml><?xml version="1.0" encoding="utf-8"?>
<formControlPr xmlns="http://schemas.microsoft.com/office/spreadsheetml/2009/9/main" objectType="CheckBox" fmlaLink="$R$500" lockText="1" noThreeD="1"/>
</file>

<file path=xl/ctrlProps/ctrlProp17.xml><?xml version="1.0" encoding="utf-8"?>
<formControlPr xmlns="http://schemas.microsoft.com/office/spreadsheetml/2009/9/main" objectType="CheckBox" fmlaLink="$R$501" lockText="1" noThreeD="1"/>
</file>

<file path=xl/ctrlProps/ctrlProp18.xml><?xml version="1.0" encoding="utf-8"?>
<formControlPr xmlns="http://schemas.microsoft.com/office/spreadsheetml/2009/9/main" objectType="CheckBox" fmlaLink="$R$502" lockText="1" noThreeD="1"/>
</file>

<file path=xl/ctrlProps/ctrlProp19.xml><?xml version="1.0" encoding="utf-8"?>
<formControlPr xmlns="http://schemas.microsoft.com/office/spreadsheetml/2009/9/main" objectType="CheckBox" fmlaLink="$R$503" lockText="1" noThreeD="1"/>
</file>

<file path=xl/ctrlProps/ctrlProp20.xml><?xml version="1.0" encoding="utf-8"?>
<formControlPr xmlns="http://schemas.microsoft.com/office/spreadsheetml/2009/9/main" objectType="CheckBox" fmlaLink="$R$504" lockText="1" noThreeD="1"/>
</file>

<file path=xl/ctrlProps/ctrlProp21.xml><?xml version="1.0" encoding="utf-8"?>
<formControlPr xmlns="http://schemas.microsoft.com/office/spreadsheetml/2009/9/main" objectType="CheckBox" fmlaLink="$R$505" lockText="1" noThreeD="1"/>
</file>

<file path=xl/ctrlProps/ctrlProp22.xml><?xml version="1.0" encoding="utf-8"?>
<formControlPr xmlns="http://schemas.microsoft.com/office/spreadsheetml/2009/9/main" objectType="CheckBox" fmlaLink="$R$506" lockText="1" noThreeD="1"/>
</file>

<file path=xl/ctrlProps/ctrlProp23.xml><?xml version="1.0" encoding="utf-8"?>
<formControlPr xmlns="http://schemas.microsoft.com/office/spreadsheetml/2009/9/main" objectType="CheckBox" fmlaLink="$R$507" lockText="1" noThreeD="1"/>
</file>

<file path=xl/ctrlProps/ctrlProp24.xml><?xml version="1.0" encoding="utf-8"?>
<formControlPr xmlns="http://schemas.microsoft.com/office/spreadsheetml/2009/9/main" objectType="CheckBox" fmlaLink="$R$508" lockText="1" noThreeD="1"/>
</file>

<file path=xl/ctrlProps/ctrlProp25.xml><?xml version="1.0" encoding="utf-8"?>
<formControlPr xmlns="http://schemas.microsoft.com/office/spreadsheetml/2009/9/main" objectType="CheckBox" fmlaLink="$R$509" lockText="1" noThreeD="1"/>
</file>

<file path=xl/ctrlProps/ctrlProp26.xml><?xml version="1.0" encoding="utf-8"?>
<formControlPr xmlns="http://schemas.microsoft.com/office/spreadsheetml/2009/9/main" objectType="CheckBox" fmlaLink="$R$510" lockText="1" noThreeD="1"/>
</file>

<file path=xl/ctrlProps/ctrlProp27.xml><?xml version="1.0" encoding="utf-8"?>
<formControlPr xmlns="http://schemas.microsoft.com/office/spreadsheetml/2009/9/main" objectType="CheckBox" fmlaLink="$R$511" lockText="1" noThreeD="1"/>
</file>

<file path=xl/ctrlProps/ctrlProp28.xml><?xml version="1.0" encoding="utf-8"?>
<formControlPr xmlns="http://schemas.microsoft.com/office/spreadsheetml/2009/9/main" objectType="CheckBox" fmlaLink="$R$512" lockText="1" noThreeD="1"/>
</file>

<file path=xl/ctrlProps/ctrlProp29.xml><?xml version="1.0" encoding="utf-8"?>
<formControlPr xmlns="http://schemas.microsoft.com/office/spreadsheetml/2009/9/main" objectType="CheckBox" fmlaLink="$R$513" lockText="1" noThreeD="1"/>
</file>

<file path=xl/ctrlProps/ctrlProp30.xml><?xml version="1.0" encoding="utf-8"?>
<formControlPr xmlns="http://schemas.microsoft.com/office/spreadsheetml/2009/9/main" objectType="CheckBox" fmlaLink="$R$514" lockText="1" noThreeD="1"/>
</file>

<file path=xl/ctrlProps/ctrlProp31.xml><?xml version="1.0" encoding="utf-8"?>
<formControlPr xmlns="http://schemas.microsoft.com/office/spreadsheetml/2009/9/main" objectType="CheckBox" fmlaLink="$R$515" lockText="1" noThreeD="1"/>
</file>

<file path=xl/ctrlProps/ctrlProp32.xml><?xml version="1.0" encoding="utf-8"?>
<formControlPr xmlns="http://schemas.microsoft.com/office/spreadsheetml/2009/9/main" objectType="CheckBox" fmlaLink="$R$516" lockText="1" noThreeD="1"/>
</file>

<file path=xl/ctrlProps/ctrlProp33.xml><?xml version="1.0" encoding="utf-8"?>
<formControlPr xmlns="http://schemas.microsoft.com/office/spreadsheetml/2009/9/main" objectType="CheckBox" fmlaLink="$R$517" lockText="1" noThreeD="1"/>
</file>

<file path=xl/ctrlProps/ctrlProp34.xml><?xml version="1.0" encoding="utf-8"?>
<formControlPr xmlns="http://schemas.microsoft.com/office/spreadsheetml/2009/9/main" objectType="CheckBox" fmlaLink="$R$518" lockText="1" noThreeD="1"/>
</file>

<file path=xl/ctrlProps/ctrlProp35.xml><?xml version="1.0" encoding="utf-8"?>
<formControlPr xmlns="http://schemas.microsoft.com/office/spreadsheetml/2009/9/main" objectType="CheckBox" fmlaLink="$R$519" lockText="1" noThreeD="1"/>
</file>

<file path=xl/ctrlProps/ctrlProp36.xml><?xml version="1.0" encoding="utf-8"?>
<formControlPr xmlns="http://schemas.microsoft.com/office/spreadsheetml/2009/9/main" objectType="CheckBox" fmlaLink="$R$520" lockText="1" noThreeD="1"/>
</file>

<file path=xl/ctrlProps/ctrlProp37.xml><?xml version="1.0" encoding="utf-8"?>
<formControlPr xmlns="http://schemas.microsoft.com/office/spreadsheetml/2009/9/main" objectType="CheckBox" fmlaLink="$R$521" lockText="1" noThreeD="1"/>
</file>

<file path=xl/ctrlProps/ctrlProp38.xml><?xml version="1.0" encoding="utf-8"?>
<formControlPr xmlns="http://schemas.microsoft.com/office/spreadsheetml/2009/9/main" objectType="CheckBox" fmlaLink="$R$522" lockText="1" noThreeD="1"/>
</file>

<file path=xl/ctrlProps/ctrlProp39.xml><?xml version="1.0" encoding="utf-8"?>
<formControlPr xmlns="http://schemas.microsoft.com/office/spreadsheetml/2009/9/main" objectType="CheckBox" fmlaLink="$R$523" lockText="1" noThreeD="1"/>
</file>

<file path=xl/ctrlProps/ctrlProp40.xml><?xml version="1.0" encoding="utf-8"?>
<formControlPr xmlns="http://schemas.microsoft.com/office/spreadsheetml/2009/9/main" objectType="CheckBox" fmlaLink="$R$524" lockText="1" noThreeD="1"/>
</file>

<file path=xl/ctrlProps/ctrlProp41.xml><?xml version="1.0" encoding="utf-8"?>
<formControlPr xmlns="http://schemas.microsoft.com/office/spreadsheetml/2009/9/main" objectType="CheckBox" fmlaLink="$R$525" lockText="1" noThreeD="1"/>
</file>

<file path=xl/ctrlProps/ctrlProp42.xml><?xml version="1.0" encoding="utf-8"?>
<formControlPr xmlns="http://schemas.microsoft.com/office/spreadsheetml/2009/9/main" objectType="CheckBox" fmlaLink="$R$526" lockText="1" noThreeD="1"/>
</file>

<file path=xl/ctrlProps/ctrlProp43.xml><?xml version="1.0" encoding="utf-8"?>
<formControlPr xmlns="http://schemas.microsoft.com/office/spreadsheetml/2009/9/main" objectType="CheckBox" fmlaLink="$R$527" lockText="1" noThreeD="1"/>
</file>

<file path=xl/ctrlProps/ctrlProp44.xml><?xml version="1.0" encoding="utf-8"?>
<formControlPr xmlns="http://schemas.microsoft.com/office/spreadsheetml/2009/9/main" objectType="CheckBox" fmlaLink="$R$528" lockText="1" noThreeD="1"/>
</file>

<file path=xl/ctrlProps/ctrlProp45.xml><?xml version="1.0" encoding="utf-8"?>
<formControlPr xmlns="http://schemas.microsoft.com/office/spreadsheetml/2009/9/main" objectType="CheckBox" fmlaLink="$R$529" lockText="1" noThreeD="1"/>
</file>

<file path=xl/ctrlProps/ctrlProp46.xml><?xml version="1.0" encoding="utf-8"?>
<formControlPr xmlns="http://schemas.microsoft.com/office/spreadsheetml/2009/9/main" objectType="CheckBox" fmlaLink="$R$530" lockText="1" noThreeD="1"/>
</file>

<file path=xl/ctrlProps/ctrlProp47.xml><?xml version="1.0" encoding="utf-8"?>
<formControlPr xmlns="http://schemas.microsoft.com/office/spreadsheetml/2009/9/main" objectType="CheckBox" fmlaLink="$R$531" lockText="1" noThreeD="1"/>
</file>

<file path=xl/ctrlProps/ctrlProp48.xml><?xml version="1.0" encoding="utf-8"?>
<formControlPr xmlns="http://schemas.microsoft.com/office/spreadsheetml/2009/9/main" objectType="CheckBox" fmlaLink="$R$532" lockText="1" noThreeD="1"/>
</file>

<file path=xl/ctrlProps/ctrlProp49.xml><?xml version="1.0" encoding="utf-8"?>
<formControlPr xmlns="http://schemas.microsoft.com/office/spreadsheetml/2009/9/main" objectType="CheckBox" fmlaLink="$R$533" lockText="1" noThreeD="1"/>
</file>

<file path=xl/ctrlProps/ctrlProp50.xml><?xml version="1.0" encoding="utf-8"?>
<formControlPr xmlns="http://schemas.microsoft.com/office/spreadsheetml/2009/9/main" objectType="CheckBox" fmlaLink="$R$534" lockText="1" noThreeD="1"/>
</file>

<file path=xl/ctrlProps/ctrlProp51.xml><?xml version="1.0" encoding="utf-8"?>
<formControlPr xmlns="http://schemas.microsoft.com/office/spreadsheetml/2009/9/main" objectType="CheckBox" fmlaLink="$R$535" lockText="1" noThreeD="1"/>
</file>

<file path=xl/ctrlProps/ctrlProp52.xml><?xml version="1.0" encoding="utf-8"?>
<formControlPr xmlns="http://schemas.microsoft.com/office/spreadsheetml/2009/9/main" objectType="CheckBox" fmlaLink="$R$536" lockText="1" noThreeD="1"/>
</file>

<file path=xl/ctrlProps/ctrlProp53.xml><?xml version="1.0" encoding="utf-8"?>
<formControlPr xmlns="http://schemas.microsoft.com/office/spreadsheetml/2009/9/main" objectType="CheckBox" fmlaLink="$R$537" lockText="1" noThreeD="1"/>
</file>

<file path=xl/ctrlProps/ctrlProp54.xml><?xml version="1.0" encoding="utf-8"?>
<formControlPr xmlns="http://schemas.microsoft.com/office/spreadsheetml/2009/9/main" objectType="CheckBox" fmlaLink="$R$538" lockText="1" noThreeD="1"/>
</file>

<file path=xl/ctrlProps/ctrlProp55.xml><?xml version="1.0" encoding="utf-8"?>
<formControlPr xmlns="http://schemas.microsoft.com/office/spreadsheetml/2009/9/main" objectType="CheckBox" fmlaLink="$R$539" lockText="1" noThreeD="1"/>
</file>

<file path=xl/ctrlProps/ctrlProp56.xml><?xml version="1.0" encoding="utf-8"?>
<formControlPr xmlns="http://schemas.microsoft.com/office/spreadsheetml/2009/9/main" objectType="CheckBox" fmlaLink="$R$540" lockText="1" noThreeD="1"/>
</file>

<file path=xl/ctrlProps/ctrlProp57.xml><?xml version="1.0" encoding="utf-8"?>
<formControlPr xmlns="http://schemas.microsoft.com/office/spreadsheetml/2009/9/main" objectType="CheckBox" fmlaLink="$R$541" lockText="1" noThreeD="1"/>
</file>

<file path=xl/ctrlProps/ctrlProp58.xml><?xml version="1.0" encoding="utf-8"?>
<formControlPr xmlns="http://schemas.microsoft.com/office/spreadsheetml/2009/9/main" objectType="CheckBox" fmlaLink="$R$542" lockText="1" noThreeD="1"/>
</file>

<file path=xl/ctrlProps/ctrlProp59.xml><?xml version="1.0" encoding="utf-8"?>
<formControlPr xmlns="http://schemas.microsoft.com/office/spreadsheetml/2009/9/main" objectType="CheckBox" fmlaLink="$R$543" lockText="1" noThreeD="1"/>
</file>

<file path=xl/ctrlProps/ctrlProp60.xml><?xml version="1.0" encoding="utf-8"?>
<formControlPr xmlns="http://schemas.microsoft.com/office/spreadsheetml/2009/9/main" objectType="CheckBox" fmlaLink="$R$544" lockText="1" noThreeD="1"/>
</file>

<file path=xl/ctrlProps/ctrlProp61.xml><?xml version="1.0" encoding="utf-8"?>
<formControlPr xmlns="http://schemas.microsoft.com/office/spreadsheetml/2009/9/main" objectType="CheckBox" fmlaLink="$R$545" lockText="1" noThreeD="1"/>
</file>

<file path=xl/ctrlProps/ctrlProp62.xml><?xml version="1.0" encoding="utf-8"?>
<formControlPr xmlns="http://schemas.microsoft.com/office/spreadsheetml/2009/9/main" objectType="CheckBox" fmlaLink="$R$546" lockText="1" noThreeD="1"/>
</file>

<file path=xl/ctrlProps/ctrlProp63.xml><?xml version="1.0" encoding="utf-8"?>
<formControlPr xmlns="http://schemas.microsoft.com/office/spreadsheetml/2009/9/main" objectType="CheckBox" fmlaLink="$R$547" lockText="1" noThreeD="1"/>
</file>

<file path=xl/ctrlProps/ctrlProp64.xml><?xml version="1.0" encoding="utf-8"?>
<formControlPr xmlns="http://schemas.microsoft.com/office/spreadsheetml/2009/9/main" objectType="CheckBox" fmlaLink="$R$548" lockText="1" noThreeD="1"/>
</file>

<file path=xl/ctrlProps/ctrlProp65.xml><?xml version="1.0" encoding="utf-8"?>
<formControlPr xmlns="http://schemas.microsoft.com/office/spreadsheetml/2009/9/main" objectType="CheckBox" fmlaLink="$R$549" lockText="1" noThreeD="1"/>
</file>

<file path=xl/ctrlProps/ctrlProp66.xml><?xml version="1.0" encoding="utf-8"?>
<formControlPr xmlns="http://schemas.microsoft.com/office/spreadsheetml/2009/9/main" objectType="CheckBox" fmlaLink="$R$550" lockText="1" noThreeD="1"/>
</file>

<file path=xl/ctrlProps/ctrlProp67.xml><?xml version="1.0" encoding="utf-8"?>
<formControlPr xmlns="http://schemas.microsoft.com/office/spreadsheetml/2009/9/main" objectType="CheckBox" fmlaLink="$R$551" lockText="1" noThreeD="1"/>
</file>

<file path=xl/ctrlProps/ctrlProp68.xml><?xml version="1.0" encoding="utf-8"?>
<formControlPr xmlns="http://schemas.microsoft.com/office/spreadsheetml/2009/9/main" objectType="CheckBox" fmlaLink="$R$552" lockText="1" noThreeD="1"/>
</file>

<file path=xl/ctrlProps/ctrlProp69.xml><?xml version="1.0" encoding="utf-8"?>
<formControlPr xmlns="http://schemas.microsoft.com/office/spreadsheetml/2009/9/main" objectType="CheckBox" fmlaLink="$R$553" lockText="1" noThreeD="1"/>
</file>

<file path=xl/ctrlProps/ctrlProp70.xml><?xml version="1.0" encoding="utf-8"?>
<formControlPr xmlns="http://schemas.microsoft.com/office/spreadsheetml/2009/9/main" objectType="CheckBox" fmlaLink="$R$554" lockText="1" noThreeD="1"/>
</file>

<file path=xl/ctrlProps/ctrlProp71.xml><?xml version="1.0" encoding="utf-8"?>
<formControlPr xmlns="http://schemas.microsoft.com/office/spreadsheetml/2009/9/main" objectType="CheckBox" fmlaLink="$R$555" lockText="1" noThreeD="1"/>
</file>

<file path=xl/ctrlProps/ctrlProp72.xml><?xml version="1.0" encoding="utf-8"?>
<formControlPr xmlns="http://schemas.microsoft.com/office/spreadsheetml/2009/9/main" objectType="CheckBox" fmlaLink="$R$556" lockText="1" noThreeD="1"/>
</file>

<file path=xl/ctrlProps/ctrlProp73.xml><?xml version="1.0" encoding="utf-8"?>
<formControlPr xmlns="http://schemas.microsoft.com/office/spreadsheetml/2009/9/main" objectType="CheckBox" fmlaLink="$R$557" lockText="1" noThreeD="1"/>
</file>

<file path=xl/ctrlProps/ctrlProp74.xml><?xml version="1.0" encoding="utf-8"?>
<formControlPr xmlns="http://schemas.microsoft.com/office/spreadsheetml/2009/9/main" objectType="CheckBox" fmlaLink="$R$558" lockText="1" noThreeD="1"/>
</file>

<file path=xl/ctrlProps/ctrlProp75.xml><?xml version="1.0" encoding="utf-8"?>
<formControlPr xmlns="http://schemas.microsoft.com/office/spreadsheetml/2009/9/main" objectType="CheckBox" fmlaLink="$R$559" lockText="1" noThreeD="1"/>
</file>

<file path=xl/ctrlProps/ctrlProp76.xml><?xml version="1.0" encoding="utf-8"?>
<formControlPr xmlns="http://schemas.microsoft.com/office/spreadsheetml/2009/9/main" objectType="CheckBox" fmlaLink="$R$560" lockText="1" noThreeD="1"/>
</file>

<file path=xl/ctrlProps/ctrlProp77.xml><?xml version="1.0" encoding="utf-8"?>
<formControlPr xmlns="http://schemas.microsoft.com/office/spreadsheetml/2009/9/main" objectType="CheckBox" fmlaLink="$R$561" lockText="1" noThreeD="1"/>
</file>

<file path=xl/ctrlProps/ctrlProp78.xml><?xml version="1.0" encoding="utf-8"?>
<formControlPr xmlns="http://schemas.microsoft.com/office/spreadsheetml/2009/9/main" objectType="CheckBox" fmlaLink="$R$12" lockText="1" noThreeD="1"/>
</file>

<file path=xl/ctrlProps/ctrlProp79.xml><?xml version="1.0" encoding="utf-8"?>
<formControlPr xmlns="http://schemas.microsoft.com/office/spreadsheetml/2009/9/main" objectType="CheckBox" fmlaLink="$R$13" lockText="1" noThreeD="1"/>
</file>

<file path=xl/ctrlProps/ctrlProp80.xml><?xml version="1.0" encoding="utf-8"?>
<formControlPr xmlns="http://schemas.microsoft.com/office/spreadsheetml/2009/9/main" objectType="CheckBox" fmlaLink="$R$14" lockText="1" noThreeD="1"/>
</file>

<file path=xl/ctrlProps/ctrlProp81.xml><?xml version="1.0" encoding="utf-8"?>
<formControlPr xmlns="http://schemas.microsoft.com/office/spreadsheetml/2009/9/main" objectType="CheckBox" fmlaLink="$R$15" lockText="1" noThreeD="1"/>
</file>

<file path=xl/ctrlProps/ctrlProp82.xml><?xml version="1.0" encoding="utf-8"?>
<formControlPr xmlns="http://schemas.microsoft.com/office/spreadsheetml/2009/9/main" objectType="CheckBox" fmlaLink="$R$16" lockText="1" noThreeD="1"/>
</file>

<file path=xl/ctrlProps/ctrlProp83.xml><?xml version="1.0" encoding="utf-8"?>
<formControlPr xmlns="http://schemas.microsoft.com/office/spreadsheetml/2009/9/main" objectType="CheckBox" fmlaLink="$R$17" lockText="1" noThreeD="1"/>
</file>

<file path=xl/ctrlProps/ctrlProp84.xml><?xml version="1.0" encoding="utf-8"?>
<formControlPr xmlns="http://schemas.microsoft.com/office/spreadsheetml/2009/9/main" objectType="CheckBox" fmlaLink="$R$18" lockText="1" noThreeD="1"/>
</file>

<file path=xl/ctrlProps/ctrlProp85.xml><?xml version="1.0" encoding="utf-8"?>
<formControlPr xmlns="http://schemas.microsoft.com/office/spreadsheetml/2009/9/main" objectType="CheckBox" fmlaLink="$R$19" lockText="1" noThreeD="1"/>
</file>

<file path=xl/ctrlProps/ctrlProp86.xml><?xml version="1.0" encoding="utf-8"?>
<formControlPr xmlns="http://schemas.microsoft.com/office/spreadsheetml/2009/9/main" objectType="CheckBox" fmlaLink="$R$20" lockText="1" noThreeD="1"/>
</file>

<file path=xl/ctrlProps/ctrlProp87.xml><?xml version="1.0" encoding="utf-8"?>
<formControlPr xmlns="http://schemas.microsoft.com/office/spreadsheetml/2009/9/main" objectType="CheckBox" fmlaLink="$R$21" lockText="1" noThreeD="1"/>
</file>

<file path=xl/ctrlProps/ctrlProp88.xml><?xml version="1.0" encoding="utf-8"?>
<formControlPr xmlns="http://schemas.microsoft.com/office/spreadsheetml/2009/9/main" objectType="CheckBox" fmlaLink="$R$22" lockText="1" noThreeD="1"/>
</file>

<file path=xl/ctrlProps/ctrlProp89.xml><?xml version="1.0" encoding="utf-8"?>
<formControlPr xmlns="http://schemas.microsoft.com/office/spreadsheetml/2009/9/main" objectType="CheckBox" fmlaLink="$R$23" lockText="1" noThreeD="1"/>
</file>

<file path=xl/ctrlProps/ctrlProp90.xml><?xml version="1.0" encoding="utf-8"?>
<formControlPr xmlns="http://schemas.microsoft.com/office/spreadsheetml/2009/9/main" objectType="CheckBox" fmlaLink="$R$24" lockText="1" noThreeD="1"/>
</file>

<file path=xl/ctrlProps/ctrlProp91.xml><?xml version="1.0" encoding="utf-8"?>
<formControlPr xmlns="http://schemas.microsoft.com/office/spreadsheetml/2009/9/main" objectType="CheckBox" fmlaLink="$R$25" lockText="1" noThreeD="1"/>
</file>

<file path=xl/ctrlProps/ctrlProp92.xml><?xml version="1.0" encoding="utf-8"?>
<formControlPr xmlns="http://schemas.microsoft.com/office/spreadsheetml/2009/9/main" objectType="CheckBox" fmlaLink="$R$26" lockText="1" noThreeD="1"/>
</file>

<file path=xl/ctrlProps/ctrlProp93.xml><?xml version="1.0" encoding="utf-8"?>
<formControlPr xmlns="http://schemas.microsoft.com/office/spreadsheetml/2009/9/main" objectType="CheckBox" fmlaLink="$R$27" lockText="1" noThreeD="1"/>
</file>

<file path=xl/ctrlProps/ctrlProp94.xml><?xml version="1.0" encoding="utf-8"?>
<formControlPr xmlns="http://schemas.microsoft.com/office/spreadsheetml/2009/9/main" objectType="CheckBox" fmlaLink="$R$28" lockText="1" noThreeD="1"/>
</file>

<file path=xl/ctrlProps/ctrlProp95.xml><?xml version="1.0" encoding="utf-8"?>
<formControlPr xmlns="http://schemas.microsoft.com/office/spreadsheetml/2009/9/main" objectType="CheckBox" fmlaLink="$R$29" lockText="1" noThreeD="1"/>
</file>

<file path=xl/ctrlProps/ctrlProp96.xml><?xml version="1.0" encoding="utf-8"?>
<formControlPr xmlns="http://schemas.microsoft.com/office/spreadsheetml/2009/9/main" objectType="CheckBox" fmlaLink="$R$30" lockText="1" noThreeD="1"/>
</file>

<file path=xl/ctrlProps/ctrlProp97.xml><?xml version="1.0" encoding="utf-8"?>
<formControlPr xmlns="http://schemas.microsoft.com/office/spreadsheetml/2009/9/main" objectType="CheckBox" fmlaLink="$R$31" lockText="1" noThreeD="1"/>
</file>

<file path=xl/ctrlProps/ctrlProp98.xml><?xml version="1.0" encoding="utf-8"?>
<formControlPr xmlns="http://schemas.microsoft.com/office/spreadsheetml/2009/9/main" objectType="CheckBox" fmlaLink="$R$32" lockText="1" noThreeD="1"/>
</file>

<file path=xl/ctrlProps/ctrlProp99.xml><?xml version="1.0" encoding="utf-8"?>
<formControlPr xmlns="http://schemas.microsoft.com/office/spreadsheetml/2009/9/main" objectType="CheckBox" fmlaLink="$R$33" lockText="1" noThreeD="1"/>
</file>

<file path=xl/ctrlProps/ctrlProp100.xml><?xml version="1.0" encoding="utf-8"?>
<formControlPr xmlns="http://schemas.microsoft.com/office/spreadsheetml/2009/9/main" objectType="CheckBox" fmlaLink="$R$34" lockText="1" noThreeD="1"/>
</file>

<file path=xl/ctrlProps/ctrlProp101.xml><?xml version="1.0" encoding="utf-8"?>
<formControlPr xmlns="http://schemas.microsoft.com/office/spreadsheetml/2009/9/main" objectType="CheckBox" fmlaLink="$R$35" lockText="1" noThreeD="1"/>
</file>

<file path=xl/ctrlProps/ctrlProp102.xml><?xml version="1.0" encoding="utf-8"?>
<formControlPr xmlns="http://schemas.microsoft.com/office/spreadsheetml/2009/9/main" objectType="CheckBox" fmlaLink="$R$36" lockText="1" noThreeD="1"/>
</file>

<file path=xl/ctrlProps/ctrlProp103.xml><?xml version="1.0" encoding="utf-8"?>
<formControlPr xmlns="http://schemas.microsoft.com/office/spreadsheetml/2009/9/main" objectType="CheckBox" fmlaLink="$R$37" lockText="1" noThreeD="1"/>
</file>

<file path=xl/ctrlProps/ctrlProp104.xml><?xml version="1.0" encoding="utf-8"?>
<formControlPr xmlns="http://schemas.microsoft.com/office/spreadsheetml/2009/9/main" objectType="CheckBox" fmlaLink="$R$38" lockText="1" noThreeD="1"/>
</file>

<file path=xl/ctrlProps/ctrlProp105.xml><?xml version="1.0" encoding="utf-8"?>
<formControlPr xmlns="http://schemas.microsoft.com/office/spreadsheetml/2009/9/main" objectType="CheckBox" fmlaLink="$R$39" lockText="1" noThreeD="1"/>
</file>

<file path=xl/ctrlProps/ctrlProp106.xml><?xml version="1.0" encoding="utf-8"?>
<formControlPr xmlns="http://schemas.microsoft.com/office/spreadsheetml/2009/9/main" objectType="CheckBox" fmlaLink="$R$40" lockText="1" noThreeD="1"/>
</file>

<file path=xl/ctrlProps/ctrlProp107.xml><?xml version="1.0" encoding="utf-8"?>
<formControlPr xmlns="http://schemas.microsoft.com/office/spreadsheetml/2009/9/main" objectType="CheckBox" fmlaLink="$R$41" lockText="1" noThreeD="1"/>
</file>

<file path=xl/ctrlProps/ctrlProp108.xml><?xml version="1.0" encoding="utf-8"?>
<formControlPr xmlns="http://schemas.microsoft.com/office/spreadsheetml/2009/9/main" objectType="CheckBox" fmlaLink="$R$42" lockText="1" noThreeD="1"/>
</file>

<file path=xl/ctrlProps/ctrlProp109.xml><?xml version="1.0" encoding="utf-8"?>
<formControlPr xmlns="http://schemas.microsoft.com/office/spreadsheetml/2009/9/main" objectType="CheckBox" fmlaLink="$R$43" lockText="1" noThreeD="1"/>
</file>

<file path=xl/ctrlProps/ctrlProp110.xml><?xml version="1.0" encoding="utf-8"?>
<formControlPr xmlns="http://schemas.microsoft.com/office/spreadsheetml/2009/9/main" objectType="CheckBox" fmlaLink="$R$44" lockText="1" noThreeD="1"/>
</file>

<file path=xl/ctrlProps/ctrlProp111.xml><?xml version="1.0" encoding="utf-8"?>
<formControlPr xmlns="http://schemas.microsoft.com/office/spreadsheetml/2009/9/main" objectType="CheckBox" fmlaLink="$R$45" lockText="1" noThreeD="1"/>
</file>

<file path=xl/ctrlProps/ctrlProp112.xml><?xml version="1.0" encoding="utf-8"?>
<formControlPr xmlns="http://schemas.microsoft.com/office/spreadsheetml/2009/9/main" objectType="CheckBox" fmlaLink="$R$46" lockText="1" noThreeD="1"/>
</file>

<file path=xl/ctrlProps/ctrlProp113.xml><?xml version="1.0" encoding="utf-8"?>
<formControlPr xmlns="http://schemas.microsoft.com/office/spreadsheetml/2009/9/main" objectType="CheckBox" fmlaLink="$R$47" lockText="1" noThreeD="1"/>
</file>

<file path=xl/ctrlProps/ctrlProp114.xml><?xml version="1.0" encoding="utf-8"?>
<formControlPr xmlns="http://schemas.microsoft.com/office/spreadsheetml/2009/9/main" objectType="CheckBox" fmlaLink="$R$48" lockText="1" noThreeD="1"/>
</file>

<file path=xl/ctrlProps/ctrlProp115.xml><?xml version="1.0" encoding="utf-8"?>
<formControlPr xmlns="http://schemas.microsoft.com/office/spreadsheetml/2009/9/main" objectType="CheckBox" fmlaLink="$R$49" lockText="1" noThreeD="1"/>
</file>

<file path=xl/ctrlProps/ctrlProp116.xml><?xml version="1.0" encoding="utf-8"?>
<formControlPr xmlns="http://schemas.microsoft.com/office/spreadsheetml/2009/9/main" objectType="CheckBox" fmlaLink="$R$50" lockText="1" noThreeD="1"/>
</file>

<file path=xl/ctrlProps/ctrlProp117.xml><?xml version="1.0" encoding="utf-8"?>
<formControlPr xmlns="http://schemas.microsoft.com/office/spreadsheetml/2009/9/main" objectType="CheckBox" fmlaLink="$R$51" lockText="1" noThreeD="1"/>
</file>

<file path=xl/ctrlProps/ctrlProp118.xml><?xml version="1.0" encoding="utf-8"?>
<formControlPr xmlns="http://schemas.microsoft.com/office/spreadsheetml/2009/9/main" objectType="CheckBox" fmlaLink="$R$52" lockText="1" noThreeD="1"/>
</file>

<file path=xl/ctrlProps/ctrlProp119.xml><?xml version="1.0" encoding="utf-8"?>
<formControlPr xmlns="http://schemas.microsoft.com/office/spreadsheetml/2009/9/main" objectType="CheckBox" fmlaLink="$R$53" lockText="1" noThreeD="1"/>
</file>

<file path=xl/ctrlProps/ctrlProp120.xml><?xml version="1.0" encoding="utf-8"?>
<formControlPr xmlns="http://schemas.microsoft.com/office/spreadsheetml/2009/9/main" objectType="CheckBox" fmlaLink="$R$54" lockText="1" noThreeD="1"/>
</file>

<file path=xl/ctrlProps/ctrlProp121.xml><?xml version="1.0" encoding="utf-8"?>
<formControlPr xmlns="http://schemas.microsoft.com/office/spreadsheetml/2009/9/main" objectType="CheckBox" fmlaLink="$R$55" lockText="1" noThreeD="1"/>
</file>

<file path=xl/ctrlProps/ctrlProp122.xml><?xml version="1.0" encoding="utf-8"?>
<formControlPr xmlns="http://schemas.microsoft.com/office/spreadsheetml/2009/9/main" objectType="CheckBox" fmlaLink="$R$56" lockText="1" noThreeD="1"/>
</file>

<file path=xl/ctrlProps/ctrlProp123.xml><?xml version="1.0" encoding="utf-8"?>
<formControlPr xmlns="http://schemas.microsoft.com/office/spreadsheetml/2009/9/main" objectType="CheckBox" fmlaLink="$R$57" lockText="1" noThreeD="1"/>
</file>

<file path=xl/ctrlProps/ctrlProp124.xml><?xml version="1.0" encoding="utf-8"?>
<formControlPr xmlns="http://schemas.microsoft.com/office/spreadsheetml/2009/9/main" objectType="CheckBox" fmlaLink="$R$58" lockText="1" noThreeD="1"/>
</file>

<file path=xl/ctrlProps/ctrlProp125.xml><?xml version="1.0" encoding="utf-8"?>
<formControlPr xmlns="http://schemas.microsoft.com/office/spreadsheetml/2009/9/main" objectType="CheckBox" fmlaLink="$R$59" lockText="1" noThreeD="1"/>
</file>

<file path=xl/ctrlProps/ctrlProp126.xml><?xml version="1.0" encoding="utf-8"?>
<formControlPr xmlns="http://schemas.microsoft.com/office/spreadsheetml/2009/9/main" objectType="CheckBox" fmlaLink="$R$60" lockText="1" noThreeD="1"/>
</file>

<file path=xl/ctrlProps/ctrlProp127.xml><?xml version="1.0" encoding="utf-8"?>
<formControlPr xmlns="http://schemas.microsoft.com/office/spreadsheetml/2009/9/main" objectType="CheckBox" fmlaLink="$R$61" lockText="1" noThreeD="1"/>
</file>

<file path=xl/ctrlProps/ctrlProp128.xml><?xml version="1.0" encoding="utf-8"?>
<formControlPr xmlns="http://schemas.microsoft.com/office/spreadsheetml/2009/9/main" objectType="CheckBox" fmlaLink="$R$62" lockText="1" noThreeD="1"/>
</file>

<file path=xl/ctrlProps/ctrlProp129.xml><?xml version="1.0" encoding="utf-8"?>
<formControlPr xmlns="http://schemas.microsoft.com/office/spreadsheetml/2009/9/main" objectType="CheckBox" fmlaLink="$R$63" lockText="1" noThreeD="1"/>
</file>

<file path=xl/ctrlProps/ctrlProp130.xml><?xml version="1.0" encoding="utf-8"?>
<formControlPr xmlns="http://schemas.microsoft.com/office/spreadsheetml/2009/9/main" objectType="CheckBox" fmlaLink="$R$64" lockText="1" noThreeD="1"/>
</file>

<file path=xl/ctrlProps/ctrlProp131.xml><?xml version="1.0" encoding="utf-8"?>
<formControlPr xmlns="http://schemas.microsoft.com/office/spreadsheetml/2009/9/main" objectType="CheckBox" fmlaLink="$R$65" lockText="1" noThreeD="1"/>
</file>

<file path=xl/ctrlProps/ctrlProp132.xml><?xml version="1.0" encoding="utf-8"?>
<formControlPr xmlns="http://schemas.microsoft.com/office/spreadsheetml/2009/9/main" objectType="CheckBox" fmlaLink="$R$66" lockText="1" noThreeD="1"/>
</file>

<file path=xl/ctrlProps/ctrlProp133.xml><?xml version="1.0" encoding="utf-8"?>
<formControlPr xmlns="http://schemas.microsoft.com/office/spreadsheetml/2009/9/main" objectType="CheckBox" fmlaLink="$R$67" lockText="1" noThreeD="1"/>
</file>

<file path=xl/ctrlProps/ctrlProp134.xml><?xml version="1.0" encoding="utf-8"?>
<formControlPr xmlns="http://schemas.microsoft.com/office/spreadsheetml/2009/9/main" objectType="CheckBox" fmlaLink="$R$68" lockText="1" noThreeD="1"/>
</file>

<file path=xl/ctrlProps/ctrlProp135.xml><?xml version="1.0" encoding="utf-8"?>
<formControlPr xmlns="http://schemas.microsoft.com/office/spreadsheetml/2009/9/main" objectType="CheckBox" fmlaLink="$R$69" lockText="1" noThreeD="1"/>
</file>

<file path=xl/ctrlProps/ctrlProp136.xml><?xml version="1.0" encoding="utf-8"?>
<formControlPr xmlns="http://schemas.microsoft.com/office/spreadsheetml/2009/9/main" objectType="CheckBox" fmlaLink="$R$70" lockText="1" noThreeD="1"/>
</file>

<file path=xl/ctrlProps/ctrlProp137.xml><?xml version="1.0" encoding="utf-8"?>
<formControlPr xmlns="http://schemas.microsoft.com/office/spreadsheetml/2009/9/main" objectType="CheckBox" fmlaLink="$R$71" lockText="1" noThreeD="1"/>
</file>

<file path=xl/ctrlProps/ctrlProp138.xml><?xml version="1.0" encoding="utf-8"?>
<formControlPr xmlns="http://schemas.microsoft.com/office/spreadsheetml/2009/9/main" objectType="CheckBox" fmlaLink="$R$72" lockText="1" noThreeD="1"/>
</file>

<file path=xl/ctrlProps/ctrlProp139.xml><?xml version="1.0" encoding="utf-8"?>
<formControlPr xmlns="http://schemas.microsoft.com/office/spreadsheetml/2009/9/main" objectType="CheckBox" fmlaLink="$R$73" lockText="1" noThreeD="1"/>
</file>

<file path=xl/ctrlProps/ctrlProp140.xml><?xml version="1.0" encoding="utf-8"?>
<formControlPr xmlns="http://schemas.microsoft.com/office/spreadsheetml/2009/9/main" objectType="CheckBox" fmlaLink="$R$74" lockText="1" noThreeD="1"/>
</file>

<file path=xl/ctrlProps/ctrlProp141.xml><?xml version="1.0" encoding="utf-8"?>
<formControlPr xmlns="http://schemas.microsoft.com/office/spreadsheetml/2009/9/main" objectType="CheckBox" fmlaLink="$R$75" lockText="1" noThreeD="1"/>
</file>

<file path=xl/ctrlProps/ctrlProp142.xml><?xml version="1.0" encoding="utf-8"?>
<formControlPr xmlns="http://schemas.microsoft.com/office/spreadsheetml/2009/9/main" objectType="CheckBox" fmlaLink="$R$76" lockText="1" noThreeD="1"/>
</file>

<file path=xl/ctrlProps/ctrlProp143.xml><?xml version="1.0" encoding="utf-8"?>
<formControlPr xmlns="http://schemas.microsoft.com/office/spreadsheetml/2009/9/main" objectType="CheckBox" fmlaLink="$R$77" lockText="1" noThreeD="1"/>
</file>

<file path=xl/ctrlProps/ctrlProp144.xml><?xml version="1.0" encoding="utf-8"?>
<formControlPr xmlns="http://schemas.microsoft.com/office/spreadsheetml/2009/9/main" objectType="CheckBox" fmlaLink="$R$78" lockText="1" noThreeD="1"/>
</file>

<file path=xl/ctrlProps/ctrlProp145.xml><?xml version="1.0" encoding="utf-8"?>
<formControlPr xmlns="http://schemas.microsoft.com/office/spreadsheetml/2009/9/main" objectType="CheckBox" fmlaLink="$R$79" lockText="1" noThreeD="1"/>
</file>

<file path=xl/ctrlProps/ctrlProp146.xml><?xml version="1.0" encoding="utf-8"?>
<formControlPr xmlns="http://schemas.microsoft.com/office/spreadsheetml/2009/9/main" objectType="CheckBox" fmlaLink="$R$80" lockText="1" noThreeD="1"/>
</file>

<file path=xl/ctrlProps/ctrlProp147.xml><?xml version="1.0" encoding="utf-8"?>
<formControlPr xmlns="http://schemas.microsoft.com/office/spreadsheetml/2009/9/main" objectType="CheckBox" fmlaLink="$R$81" lockText="1" noThreeD="1"/>
</file>

<file path=xl/ctrlProps/ctrlProp148.xml><?xml version="1.0" encoding="utf-8"?>
<formControlPr xmlns="http://schemas.microsoft.com/office/spreadsheetml/2009/9/main" objectType="CheckBox" fmlaLink="$R$82" lockText="1" noThreeD="1"/>
</file>

<file path=xl/ctrlProps/ctrlProp149.xml><?xml version="1.0" encoding="utf-8"?>
<formControlPr xmlns="http://schemas.microsoft.com/office/spreadsheetml/2009/9/main" objectType="CheckBox" fmlaLink="$R$83" lockText="1" noThreeD="1"/>
</file>

<file path=xl/ctrlProps/ctrlProp150.xml><?xml version="1.0" encoding="utf-8"?>
<formControlPr xmlns="http://schemas.microsoft.com/office/spreadsheetml/2009/9/main" objectType="CheckBox" fmlaLink="$R$84" lockText="1" noThreeD="1"/>
</file>

<file path=xl/ctrlProps/ctrlProp151.xml><?xml version="1.0" encoding="utf-8"?>
<formControlPr xmlns="http://schemas.microsoft.com/office/spreadsheetml/2009/9/main" objectType="CheckBox" fmlaLink="$R$85" lockText="1" noThreeD="1"/>
</file>

<file path=xl/ctrlProps/ctrlProp152.xml><?xml version="1.0" encoding="utf-8"?>
<formControlPr xmlns="http://schemas.microsoft.com/office/spreadsheetml/2009/9/main" objectType="CheckBox" fmlaLink="$R$86" lockText="1" noThreeD="1"/>
</file>

<file path=xl/ctrlProps/ctrlProp153.xml><?xml version="1.0" encoding="utf-8"?>
<formControlPr xmlns="http://schemas.microsoft.com/office/spreadsheetml/2009/9/main" objectType="CheckBox" fmlaLink="$R$87" lockText="1" noThreeD="1"/>
</file>

<file path=xl/ctrlProps/ctrlProp154.xml><?xml version="1.0" encoding="utf-8"?>
<formControlPr xmlns="http://schemas.microsoft.com/office/spreadsheetml/2009/9/main" objectType="CheckBox" fmlaLink="$R$88" lockText="1" noThreeD="1"/>
</file>

<file path=xl/ctrlProps/ctrlProp155.xml><?xml version="1.0" encoding="utf-8"?>
<formControlPr xmlns="http://schemas.microsoft.com/office/spreadsheetml/2009/9/main" objectType="CheckBox" fmlaLink="$R$89" lockText="1" noThreeD="1"/>
</file>

<file path=xl/ctrlProps/ctrlProp156.xml><?xml version="1.0" encoding="utf-8"?>
<formControlPr xmlns="http://schemas.microsoft.com/office/spreadsheetml/2009/9/main" objectType="CheckBox" fmlaLink="$R$90" lockText="1" noThreeD="1"/>
</file>

<file path=xl/ctrlProps/ctrlProp157.xml><?xml version="1.0" encoding="utf-8"?>
<formControlPr xmlns="http://schemas.microsoft.com/office/spreadsheetml/2009/9/main" objectType="CheckBox" fmlaLink="$R$91" lockText="1" noThreeD="1"/>
</file>

<file path=xl/ctrlProps/ctrlProp158.xml><?xml version="1.0" encoding="utf-8"?>
<formControlPr xmlns="http://schemas.microsoft.com/office/spreadsheetml/2009/9/main" objectType="CheckBox" fmlaLink="$R$92" lockText="1" noThreeD="1"/>
</file>

<file path=xl/ctrlProps/ctrlProp159.xml><?xml version="1.0" encoding="utf-8"?>
<formControlPr xmlns="http://schemas.microsoft.com/office/spreadsheetml/2009/9/main" objectType="CheckBox" fmlaLink="$R$93" lockText="1" noThreeD="1"/>
</file>

<file path=xl/ctrlProps/ctrlProp160.xml><?xml version="1.0" encoding="utf-8"?>
<formControlPr xmlns="http://schemas.microsoft.com/office/spreadsheetml/2009/9/main" objectType="CheckBox" fmlaLink="$R$94" lockText="1" noThreeD="1"/>
</file>

<file path=xl/ctrlProps/ctrlProp161.xml><?xml version="1.0" encoding="utf-8"?>
<formControlPr xmlns="http://schemas.microsoft.com/office/spreadsheetml/2009/9/main" objectType="CheckBox" fmlaLink="$R$95" lockText="1" noThreeD="1"/>
</file>

<file path=xl/ctrlProps/ctrlProp162.xml><?xml version="1.0" encoding="utf-8"?>
<formControlPr xmlns="http://schemas.microsoft.com/office/spreadsheetml/2009/9/main" objectType="CheckBox" fmlaLink="$R$96" lockText="1" noThreeD="1"/>
</file>

<file path=xl/ctrlProps/ctrlProp163.xml><?xml version="1.0" encoding="utf-8"?>
<formControlPr xmlns="http://schemas.microsoft.com/office/spreadsheetml/2009/9/main" objectType="CheckBox" fmlaLink="$R$97" lockText="1" noThreeD="1"/>
</file>

<file path=xl/ctrlProps/ctrlProp164.xml><?xml version="1.0" encoding="utf-8"?>
<formControlPr xmlns="http://schemas.microsoft.com/office/spreadsheetml/2009/9/main" objectType="CheckBox" fmlaLink="$R$98" lockText="1" noThreeD="1"/>
</file>

<file path=xl/ctrlProps/ctrlProp165.xml><?xml version="1.0" encoding="utf-8"?>
<formControlPr xmlns="http://schemas.microsoft.com/office/spreadsheetml/2009/9/main" objectType="CheckBox" fmlaLink="$R$99" lockText="1" noThreeD="1"/>
</file>

<file path=xl/ctrlProps/ctrlProp166.xml><?xml version="1.0" encoding="utf-8"?>
<formControlPr xmlns="http://schemas.microsoft.com/office/spreadsheetml/2009/9/main" objectType="CheckBox" fmlaLink="$R$100" lockText="1" noThreeD="1"/>
</file>

<file path=xl/ctrlProps/ctrlProp167.xml><?xml version="1.0" encoding="utf-8"?>
<formControlPr xmlns="http://schemas.microsoft.com/office/spreadsheetml/2009/9/main" objectType="CheckBox" fmlaLink="$R$101" lockText="1" noThreeD="1"/>
</file>

<file path=xl/ctrlProps/ctrlProp168.xml><?xml version="1.0" encoding="utf-8"?>
<formControlPr xmlns="http://schemas.microsoft.com/office/spreadsheetml/2009/9/main" objectType="CheckBox" fmlaLink="$R$102" lockText="1" noThreeD="1"/>
</file>

<file path=xl/ctrlProps/ctrlProp169.xml><?xml version="1.0" encoding="utf-8"?>
<formControlPr xmlns="http://schemas.microsoft.com/office/spreadsheetml/2009/9/main" objectType="CheckBox" fmlaLink="$R$103" lockText="1" noThreeD="1"/>
</file>

<file path=xl/ctrlProps/ctrlProp170.xml><?xml version="1.0" encoding="utf-8"?>
<formControlPr xmlns="http://schemas.microsoft.com/office/spreadsheetml/2009/9/main" objectType="CheckBox" fmlaLink="$R$104" lockText="1" noThreeD="1"/>
</file>

<file path=xl/ctrlProps/ctrlProp171.xml><?xml version="1.0" encoding="utf-8"?>
<formControlPr xmlns="http://schemas.microsoft.com/office/spreadsheetml/2009/9/main" objectType="CheckBox" fmlaLink="$R$105" lockText="1" noThreeD="1"/>
</file>

<file path=xl/ctrlProps/ctrlProp172.xml><?xml version="1.0" encoding="utf-8"?>
<formControlPr xmlns="http://schemas.microsoft.com/office/spreadsheetml/2009/9/main" objectType="CheckBox" fmlaLink="$R$106" lockText="1" noThreeD="1"/>
</file>

<file path=xl/ctrlProps/ctrlProp173.xml><?xml version="1.0" encoding="utf-8"?>
<formControlPr xmlns="http://schemas.microsoft.com/office/spreadsheetml/2009/9/main" objectType="CheckBox" fmlaLink="$R$107" lockText="1" noThreeD="1"/>
</file>

<file path=xl/ctrlProps/ctrlProp174.xml><?xml version="1.0" encoding="utf-8"?>
<formControlPr xmlns="http://schemas.microsoft.com/office/spreadsheetml/2009/9/main" objectType="CheckBox" fmlaLink="$R$108" lockText="1" noThreeD="1"/>
</file>

<file path=xl/ctrlProps/ctrlProp175.xml><?xml version="1.0" encoding="utf-8"?>
<formControlPr xmlns="http://schemas.microsoft.com/office/spreadsheetml/2009/9/main" objectType="CheckBox" fmlaLink="$R$109" lockText="1" noThreeD="1"/>
</file>

<file path=xl/ctrlProps/ctrlProp176.xml><?xml version="1.0" encoding="utf-8"?>
<formControlPr xmlns="http://schemas.microsoft.com/office/spreadsheetml/2009/9/main" objectType="CheckBox" fmlaLink="$R$110" lockText="1" noThreeD="1"/>
</file>

<file path=xl/ctrlProps/ctrlProp177.xml><?xml version="1.0" encoding="utf-8"?>
<formControlPr xmlns="http://schemas.microsoft.com/office/spreadsheetml/2009/9/main" objectType="CheckBox" fmlaLink="$R$111" lockText="1" noThreeD="1"/>
</file>

<file path=xl/ctrlProps/ctrlProp178.xml><?xml version="1.0" encoding="utf-8"?>
<formControlPr xmlns="http://schemas.microsoft.com/office/spreadsheetml/2009/9/main" objectType="CheckBox" fmlaLink="$R$112" lockText="1" noThreeD="1"/>
</file>

<file path=xl/ctrlProps/ctrlProp179.xml><?xml version="1.0" encoding="utf-8"?>
<formControlPr xmlns="http://schemas.microsoft.com/office/spreadsheetml/2009/9/main" objectType="CheckBox" fmlaLink="$R$113" lockText="1" noThreeD="1"/>
</file>

<file path=xl/ctrlProps/ctrlProp180.xml><?xml version="1.0" encoding="utf-8"?>
<formControlPr xmlns="http://schemas.microsoft.com/office/spreadsheetml/2009/9/main" objectType="CheckBox" fmlaLink="$R$114" lockText="1" noThreeD="1"/>
</file>

<file path=xl/ctrlProps/ctrlProp181.xml><?xml version="1.0" encoding="utf-8"?>
<formControlPr xmlns="http://schemas.microsoft.com/office/spreadsheetml/2009/9/main" objectType="CheckBox" fmlaLink="$R$115" lockText="1" noThreeD="1"/>
</file>

<file path=xl/ctrlProps/ctrlProp182.xml><?xml version="1.0" encoding="utf-8"?>
<formControlPr xmlns="http://schemas.microsoft.com/office/spreadsheetml/2009/9/main" objectType="CheckBox" fmlaLink="$R$116" lockText="1" noThreeD="1"/>
</file>

<file path=xl/ctrlProps/ctrlProp183.xml><?xml version="1.0" encoding="utf-8"?>
<formControlPr xmlns="http://schemas.microsoft.com/office/spreadsheetml/2009/9/main" objectType="CheckBox" fmlaLink="$R$117" lockText="1" noThreeD="1"/>
</file>

<file path=xl/ctrlProps/ctrlProp184.xml><?xml version="1.0" encoding="utf-8"?>
<formControlPr xmlns="http://schemas.microsoft.com/office/spreadsheetml/2009/9/main" objectType="CheckBox" fmlaLink="$R$118" lockText="1" noThreeD="1"/>
</file>

<file path=xl/ctrlProps/ctrlProp185.xml><?xml version="1.0" encoding="utf-8"?>
<formControlPr xmlns="http://schemas.microsoft.com/office/spreadsheetml/2009/9/main" objectType="CheckBox" fmlaLink="$R$119" lockText="1" noThreeD="1"/>
</file>

<file path=xl/ctrlProps/ctrlProp186.xml><?xml version="1.0" encoding="utf-8"?>
<formControlPr xmlns="http://schemas.microsoft.com/office/spreadsheetml/2009/9/main" objectType="CheckBox" fmlaLink="$R$120" lockText="1" noThreeD="1"/>
</file>

<file path=xl/ctrlProps/ctrlProp187.xml><?xml version="1.0" encoding="utf-8"?>
<formControlPr xmlns="http://schemas.microsoft.com/office/spreadsheetml/2009/9/main" objectType="CheckBox" fmlaLink="$R$121" lockText="1" noThreeD="1"/>
</file>

<file path=xl/ctrlProps/ctrlProp188.xml><?xml version="1.0" encoding="utf-8"?>
<formControlPr xmlns="http://schemas.microsoft.com/office/spreadsheetml/2009/9/main" objectType="CheckBox" fmlaLink="$R$122" lockText="1" noThreeD="1"/>
</file>

<file path=xl/ctrlProps/ctrlProp189.xml><?xml version="1.0" encoding="utf-8"?>
<formControlPr xmlns="http://schemas.microsoft.com/office/spreadsheetml/2009/9/main" objectType="CheckBox" fmlaLink="$R$123" lockText="1" noThreeD="1"/>
</file>

<file path=xl/ctrlProps/ctrlProp190.xml><?xml version="1.0" encoding="utf-8"?>
<formControlPr xmlns="http://schemas.microsoft.com/office/spreadsheetml/2009/9/main" objectType="CheckBox" fmlaLink="$R$124" lockText="1" noThreeD="1"/>
</file>

<file path=xl/ctrlProps/ctrlProp191.xml><?xml version="1.0" encoding="utf-8"?>
<formControlPr xmlns="http://schemas.microsoft.com/office/spreadsheetml/2009/9/main" objectType="CheckBox" fmlaLink="$R$125" lockText="1" noThreeD="1"/>
</file>

<file path=xl/ctrlProps/ctrlProp192.xml><?xml version="1.0" encoding="utf-8"?>
<formControlPr xmlns="http://schemas.microsoft.com/office/spreadsheetml/2009/9/main" objectType="CheckBox" fmlaLink="$R$126" lockText="1" noThreeD="1"/>
</file>

<file path=xl/ctrlProps/ctrlProp193.xml><?xml version="1.0" encoding="utf-8"?>
<formControlPr xmlns="http://schemas.microsoft.com/office/spreadsheetml/2009/9/main" objectType="CheckBox" fmlaLink="$R$127" lockText="1" noThreeD="1"/>
</file>

<file path=xl/ctrlProps/ctrlProp194.xml><?xml version="1.0" encoding="utf-8"?>
<formControlPr xmlns="http://schemas.microsoft.com/office/spreadsheetml/2009/9/main" objectType="CheckBox" fmlaLink="$R$128" lockText="1" noThreeD="1"/>
</file>

<file path=xl/ctrlProps/ctrlProp195.xml><?xml version="1.0" encoding="utf-8"?>
<formControlPr xmlns="http://schemas.microsoft.com/office/spreadsheetml/2009/9/main" objectType="CheckBox" fmlaLink="$R$129" lockText="1" noThreeD="1"/>
</file>

<file path=xl/ctrlProps/ctrlProp196.xml><?xml version="1.0" encoding="utf-8"?>
<formControlPr xmlns="http://schemas.microsoft.com/office/spreadsheetml/2009/9/main" objectType="CheckBox" fmlaLink="$R$130" lockText="1" noThreeD="1"/>
</file>

<file path=xl/ctrlProps/ctrlProp197.xml><?xml version="1.0" encoding="utf-8"?>
<formControlPr xmlns="http://schemas.microsoft.com/office/spreadsheetml/2009/9/main" objectType="CheckBox" fmlaLink="$R$131" lockText="1" noThreeD="1"/>
</file>

<file path=xl/ctrlProps/ctrlProp198.xml><?xml version="1.0" encoding="utf-8"?>
<formControlPr xmlns="http://schemas.microsoft.com/office/spreadsheetml/2009/9/main" objectType="CheckBox" fmlaLink="$R$132" lockText="1" noThreeD="1"/>
</file>

<file path=xl/ctrlProps/ctrlProp199.xml><?xml version="1.0" encoding="utf-8"?>
<formControlPr xmlns="http://schemas.microsoft.com/office/spreadsheetml/2009/9/main" objectType="CheckBox" fmlaLink="$R$133" lockText="1" noThreeD="1"/>
</file>

<file path=xl/ctrlProps/ctrlProp200.xml><?xml version="1.0" encoding="utf-8"?>
<formControlPr xmlns="http://schemas.microsoft.com/office/spreadsheetml/2009/9/main" objectType="CheckBox" fmlaLink="$R$134" lockText="1" noThreeD="1"/>
</file>

<file path=xl/ctrlProps/ctrlProp201.xml><?xml version="1.0" encoding="utf-8"?>
<formControlPr xmlns="http://schemas.microsoft.com/office/spreadsheetml/2009/9/main" objectType="CheckBox" fmlaLink="$R$135" lockText="1" noThreeD="1"/>
</file>

<file path=xl/ctrlProps/ctrlProp202.xml><?xml version="1.0" encoding="utf-8"?>
<formControlPr xmlns="http://schemas.microsoft.com/office/spreadsheetml/2009/9/main" objectType="CheckBox" fmlaLink="$R$136" lockText="1" noThreeD="1"/>
</file>

<file path=xl/ctrlProps/ctrlProp203.xml><?xml version="1.0" encoding="utf-8"?>
<formControlPr xmlns="http://schemas.microsoft.com/office/spreadsheetml/2009/9/main" objectType="CheckBox" fmlaLink="$R$137" lockText="1" noThreeD="1"/>
</file>

<file path=xl/ctrlProps/ctrlProp204.xml><?xml version="1.0" encoding="utf-8"?>
<formControlPr xmlns="http://schemas.microsoft.com/office/spreadsheetml/2009/9/main" objectType="CheckBox" fmlaLink="$R$138" lockText="1" noThreeD="1"/>
</file>

<file path=xl/ctrlProps/ctrlProp205.xml><?xml version="1.0" encoding="utf-8"?>
<formControlPr xmlns="http://schemas.microsoft.com/office/spreadsheetml/2009/9/main" objectType="CheckBox" fmlaLink="$R$139" lockText="1" noThreeD="1"/>
</file>

<file path=xl/ctrlProps/ctrlProp206.xml><?xml version="1.0" encoding="utf-8"?>
<formControlPr xmlns="http://schemas.microsoft.com/office/spreadsheetml/2009/9/main" objectType="CheckBox" fmlaLink="$R$140" lockText="1" noThreeD="1"/>
</file>

<file path=xl/ctrlProps/ctrlProp207.xml><?xml version="1.0" encoding="utf-8"?>
<formControlPr xmlns="http://schemas.microsoft.com/office/spreadsheetml/2009/9/main" objectType="CheckBox" fmlaLink="$R$141" lockText="1" noThreeD="1"/>
</file>

<file path=xl/ctrlProps/ctrlProp208.xml><?xml version="1.0" encoding="utf-8"?>
<formControlPr xmlns="http://schemas.microsoft.com/office/spreadsheetml/2009/9/main" objectType="CheckBox" fmlaLink="$R$142" lockText="1" noThreeD="1"/>
</file>

<file path=xl/ctrlProps/ctrlProp209.xml><?xml version="1.0" encoding="utf-8"?>
<formControlPr xmlns="http://schemas.microsoft.com/office/spreadsheetml/2009/9/main" objectType="CheckBox" fmlaLink="$R$143" lockText="1" noThreeD="1"/>
</file>

<file path=xl/ctrlProps/ctrlProp210.xml><?xml version="1.0" encoding="utf-8"?>
<formControlPr xmlns="http://schemas.microsoft.com/office/spreadsheetml/2009/9/main" objectType="CheckBox" fmlaLink="$R$144" lockText="1" noThreeD="1"/>
</file>

<file path=xl/ctrlProps/ctrlProp211.xml><?xml version="1.0" encoding="utf-8"?>
<formControlPr xmlns="http://schemas.microsoft.com/office/spreadsheetml/2009/9/main" objectType="CheckBox" fmlaLink="$R$145" lockText="1" noThreeD="1"/>
</file>

<file path=xl/ctrlProps/ctrlProp212.xml><?xml version="1.0" encoding="utf-8"?>
<formControlPr xmlns="http://schemas.microsoft.com/office/spreadsheetml/2009/9/main" objectType="CheckBox" fmlaLink="$R$146" lockText="1" noThreeD="1"/>
</file>

<file path=xl/ctrlProps/ctrlProp213.xml><?xml version="1.0" encoding="utf-8"?>
<formControlPr xmlns="http://schemas.microsoft.com/office/spreadsheetml/2009/9/main" objectType="CheckBox" fmlaLink="$R$147" lockText="1" noThreeD="1"/>
</file>

<file path=xl/ctrlProps/ctrlProp214.xml><?xml version="1.0" encoding="utf-8"?>
<formControlPr xmlns="http://schemas.microsoft.com/office/spreadsheetml/2009/9/main" objectType="CheckBox" fmlaLink="$R$148" lockText="1" noThreeD="1"/>
</file>

<file path=xl/ctrlProps/ctrlProp215.xml><?xml version="1.0" encoding="utf-8"?>
<formControlPr xmlns="http://schemas.microsoft.com/office/spreadsheetml/2009/9/main" objectType="CheckBox" fmlaLink="$R$149" lockText="1" noThreeD="1"/>
</file>

<file path=xl/ctrlProps/ctrlProp216.xml><?xml version="1.0" encoding="utf-8"?>
<formControlPr xmlns="http://schemas.microsoft.com/office/spreadsheetml/2009/9/main" objectType="CheckBox" fmlaLink="$R$150" lockText="1" noThreeD="1"/>
</file>

<file path=xl/ctrlProps/ctrlProp217.xml><?xml version="1.0" encoding="utf-8"?>
<formControlPr xmlns="http://schemas.microsoft.com/office/spreadsheetml/2009/9/main" objectType="CheckBox" fmlaLink="$R$151" lockText="1" noThreeD="1"/>
</file>

<file path=xl/ctrlProps/ctrlProp218.xml><?xml version="1.0" encoding="utf-8"?>
<formControlPr xmlns="http://schemas.microsoft.com/office/spreadsheetml/2009/9/main" objectType="CheckBox" fmlaLink="$R$152" lockText="1" noThreeD="1"/>
</file>

<file path=xl/ctrlProps/ctrlProp219.xml><?xml version="1.0" encoding="utf-8"?>
<formControlPr xmlns="http://schemas.microsoft.com/office/spreadsheetml/2009/9/main" objectType="CheckBox" fmlaLink="$R$153" lockText="1" noThreeD="1"/>
</file>

<file path=xl/ctrlProps/ctrlProp220.xml><?xml version="1.0" encoding="utf-8"?>
<formControlPr xmlns="http://schemas.microsoft.com/office/spreadsheetml/2009/9/main" objectType="CheckBox" fmlaLink="$R$154" lockText="1" noThreeD="1"/>
</file>

<file path=xl/ctrlProps/ctrlProp221.xml><?xml version="1.0" encoding="utf-8"?>
<formControlPr xmlns="http://schemas.microsoft.com/office/spreadsheetml/2009/9/main" objectType="CheckBox" fmlaLink="$R$155" lockText="1" noThreeD="1"/>
</file>

<file path=xl/ctrlProps/ctrlProp222.xml><?xml version="1.0" encoding="utf-8"?>
<formControlPr xmlns="http://schemas.microsoft.com/office/spreadsheetml/2009/9/main" objectType="CheckBox" fmlaLink="$R$156" lockText="1" noThreeD="1"/>
</file>

<file path=xl/ctrlProps/ctrlProp223.xml><?xml version="1.0" encoding="utf-8"?>
<formControlPr xmlns="http://schemas.microsoft.com/office/spreadsheetml/2009/9/main" objectType="CheckBox" fmlaLink="$R$157" lockText="1" noThreeD="1"/>
</file>

<file path=xl/ctrlProps/ctrlProp224.xml><?xml version="1.0" encoding="utf-8"?>
<formControlPr xmlns="http://schemas.microsoft.com/office/spreadsheetml/2009/9/main" objectType="CheckBox" fmlaLink="$R$158" lockText="1" noThreeD="1"/>
</file>

<file path=xl/ctrlProps/ctrlProp225.xml><?xml version="1.0" encoding="utf-8"?>
<formControlPr xmlns="http://schemas.microsoft.com/office/spreadsheetml/2009/9/main" objectType="CheckBox" fmlaLink="$R$159" lockText="1" noThreeD="1"/>
</file>

<file path=xl/ctrlProps/ctrlProp226.xml><?xml version="1.0" encoding="utf-8"?>
<formControlPr xmlns="http://schemas.microsoft.com/office/spreadsheetml/2009/9/main" objectType="CheckBox" fmlaLink="$R$160" lockText="1" noThreeD="1"/>
</file>

<file path=xl/ctrlProps/ctrlProp227.xml><?xml version="1.0" encoding="utf-8"?>
<formControlPr xmlns="http://schemas.microsoft.com/office/spreadsheetml/2009/9/main" objectType="CheckBox" fmlaLink="$R$161" lockText="1" noThreeD="1"/>
</file>

<file path=xl/ctrlProps/ctrlProp228.xml><?xml version="1.0" encoding="utf-8"?>
<formControlPr xmlns="http://schemas.microsoft.com/office/spreadsheetml/2009/9/main" objectType="CheckBox" fmlaLink="$R$162" lockText="1" noThreeD="1"/>
</file>

<file path=xl/ctrlProps/ctrlProp229.xml><?xml version="1.0" encoding="utf-8"?>
<formControlPr xmlns="http://schemas.microsoft.com/office/spreadsheetml/2009/9/main" objectType="CheckBox" fmlaLink="$R$163" lockText="1" noThreeD="1"/>
</file>

<file path=xl/ctrlProps/ctrlProp230.xml><?xml version="1.0" encoding="utf-8"?>
<formControlPr xmlns="http://schemas.microsoft.com/office/spreadsheetml/2009/9/main" objectType="CheckBox" fmlaLink="$R$164" lockText="1" noThreeD="1"/>
</file>

<file path=xl/ctrlProps/ctrlProp231.xml><?xml version="1.0" encoding="utf-8"?>
<formControlPr xmlns="http://schemas.microsoft.com/office/spreadsheetml/2009/9/main" objectType="CheckBox" fmlaLink="$R$165" lockText="1" noThreeD="1"/>
</file>

<file path=xl/ctrlProps/ctrlProp232.xml><?xml version="1.0" encoding="utf-8"?>
<formControlPr xmlns="http://schemas.microsoft.com/office/spreadsheetml/2009/9/main" objectType="CheckBox" fmlaLink="$R$166" lockText="1" noThreeD="1"/>
</file>

<file path=xl/ctrlProps/ctrlProp233.xml><?xml version="1.0" encoding="utf-8"?>
<formControlPr xmlns="http://schemas.microsoft.com/office/spreadsheetml/2009/9/main" objectType="CheckBox" fmlaLink="$R$167" lockText="1" noThreeD="1"/>
</file>

<file path=xl/ctrlProps/ctrlProp234.xml><?xml version="1.0" encoding="utf-8"?>
<formControlPr xmlns="http://schemas.microsoft.com/office/spreadsheetml/2009/9/main" objectType="CheckBox" fmlaLink="$R$168" lockText="1" noThreeD="1"/>
</file>

<file path=xl/ctrlProps/ctrlProp235.xml><?xml version="1.0" encoding="utf-8"?>
<formControlPr xmlns="http://schemas.microsoft.com/office/spreadsheetml/2009/9/main" objectType="CheckBox" fmlaLink="$R$169" lockText="1" noThreeD="1"/>
</file>

<file path=xl/ctrlProps/ctrlProp236.xml><?xml version="1.0" encoding="utf-8"?>
<formControlPr xmlns="http://schemas.microsoft.com/office/spreadsheetml/2009/9/main" objectType="CheckBox" fmlaLink="$R$170" lockText="1" noThreeD="1"/>
</file>

<file path=xl/ctrlProps/ctrlProp237.xml><?xml version="1.0" encoding="utf-8"?>
<formControlPr xmlns="http://schemas.microsoft.com/office/spreadsheetml/2009/9/main" objectType="CheckBox" fmlaLink="$R$171" lockText="1" noThreeD="1"/>
</file>

<file path=xl/ctrlProps/ctrlProp238.xml><?xml version="1.0" encoding="utf-8"?>
<formControlPr xmlns="http://schemas.microsoft.com/office/spreadsheetml/2009/9/main" objectType="CheckBox" fmlaLink="$R$172" lockText="1" noThreeD="1"/>
</file>

<file path=xl/ctrlProps/ctrlProp239.xml><?xml version="1.0" encoding="utf-8"?>
<formControlPr xmlns="http://schemas.microsoft.com/office/spreadsheetml/2009/9/main" objectType="CheckBox" fmlaLink="$R$173" lockText="1" noThreeD="1"/>
</file>

<file path=xl/ctrlProps/ctrlProp240.xml><?xml version="1.0" encoding="utf-8"?>
<formControlPr xmlns="http://schemas.microsoft.com/office/spreadsheetml/2009/9/main" objectType="CheckBox" fmlaLink="$R$174" lockText="1" noThreeD="1"/>
</file>

<file path=xl/ctrlProps/ctrlProp241.xml><?xml version="1.0" encoding="utf-8"?>
<formControlPr xmlns="http://schemas.microsoft.com/office/spreadsheetml/2009/9/main" objectType="CheckBox" fmlaLink="$R$175" lockText="1" noThreeD="1"/>
</file>

<file path=xl/ctrlProps/ctrlProp242.xml><?xml version="1.0" encoding="utf-8"?>
<formControlPr xmlns="http://schemas.microsoft.com/office/spreadsheetml/2009/9/main" objectType="CheckBox" fmlaLink="$R$176" lockText="1" noThreeD="1"/>
</file>

<file path=xl/ctrlProps/ctrlProp243.xml><?xml version="1.0" encoding="utf-8"?>
<formControlPr xmlns="http://schemas.microsoft.com/office/spreadsheetml/2009/9/main" objectType="CheckBox" fmlaLink="$R$177" lockText="1" noThreeD="1"/>
</file>

<file path=xl/ctrlProps/ctrlProp244.xml><?xml version="1.0" encoding="utf-8"?>
<formControlPr xmlns="http://schemas.microsoft.com/office/spreadsheetml/2009/9/main" objectType="CheckBox" fmlaLink="$R$178" lockText="1" noThreeD="1"/>
</file>

<file path=xl/ctrlProps/ctrlProp245.xml><?xml version="1.0" encoding="utf-8"?>
<formControlPr xmlns="http://schemas.microsoft.com/office/spreadsheetml/2009/9/main" objectType="CheckBox" fmlaLink="$R$179" lockText="1" noThreeD="1"/>
</file>

<file path=xl/ctrlProps/ctrlProp246.xml><?xml version="1.0" encoding="utf-8"?>
<formControlPr xmlns="http://schemas.microsoft.com/office/spreadsheetml/2009/9/main" objectType="CheckBox" fmlaLink="$R$180" lockText="1" noThreeD="1"/>
</file>

<file path=xl/ctrlProps/ctrlProp247.xml><?xml version="1.0" encoding="utf-8"?>
<formControlPr xmlns="http://schemas.microsoft.com/office/spreadsheetml/2009/9/main" objectType="CheckBox" fmlaLink="$R$181" lockText="1" noThreeD="1"/>
</file>

<file path=xl/ctrlProps/ctrlProp248.xml><?xml version="1.0" encoding="utf-8"?>
<formControlPr xmlns="http://schemas.microsoft.com/office/spreadsheetml/2009/9/main" objectType="CheckBox" fmlaLink="$R$182" lockText="1" noThreeD="1"/>
</file>

<file path=xl/ctrlProps/ctrlProp249.xml><?xml version="1.0" encoding="utf-8"?>
<formControlPr xmlns="http://schemas.microsoft.com/office/spreadsheetml/2009/9/main" objectType="CheckBox" fmlaLink="$R$183" lockText="1" noThreeD="1"/>
</file>

<file path=xl/ctrlProps/ctrlProp250.xml><?xml version="1.0" encoding="utf-8"?>
<formControlPr xmlns="http://schemas.microsoft.com/office/spreadsheetml/2009/9/main" objectType="CheckBox" fmlaLink="$R$184" lockText="1" noThreeD="1"/>
</file>

<file path=xl/ctrlProps/ctrlProp251.xml><?xml version="1.0" encoding="utf-8"?>
<formControlPr xmlns="http://schemas.microsoft.com/office/spreadsheetml/2009/9/main" objectType="CheckBox" fmlaLink="$R$185" lockText="1" noThreeD="1"/>
</file>

<file path=xl/ctrlProps/ctrlProp252.xml><?xml version="1.0" encoding="utf-8"?>
<formControlPr xmlns="http://schemas.microsoft.com/office/spreadsheetml/2009/9/main" objectType="CheckBox" fmlaLink="$R$186" lockText="1" noThreeD="1"/>
</file>

<file path=xl/ctrlProps/ctrlProp253.xml><?xml version="1.0" encoding="utf-8"?>
<formControlPr xmlns="http://schemas.microsoft.com/office/spreadsheetml/2009/9/main" objectType="CheckBox" fmlaLink="$R$187" lockText="1" noThreeD="1"/>
</file>

<file path=xl/ctrlProps/ctrlProp254.xml><?xml version="1.0" encoding="utf-8"?>
<formControlPr xmlns="http://schemas.microsoft.com/office/spreadsheetml/2009/9/main" objectType="CheckBox" fmlaLink="$R$188" lockText="1" noThreeD="1"/>
</file>

<file path=xl/ctrlProps/ctrlProp255.xml><?xml version="1.0" encoding="utf-8"?>
<formControlPr xmlns="http://schemas.microsoft.com/office/spreadsheetml/2009/9/main" objectType="CheckBox" fmlaLink="$R$189" lockText="1" noThreeD="1"/>
</file>

<file path=xl/ctrlProps/ctrlProp256.xml><?xml version="1.0" encoding="utf-8"?>
<formControlPr xmlns="http://schemas.microsoft.com/office/spreadsheetml/2009/9/main" objectType="CheckBox" fmlaLink="$R$190" lockText="1" noThreeD="1"/>
</file>

<file path=xl/ctrlProps/ctrlProp257.xml><?xml version="1.0" encoding="utf-8"?>
<formControlPr xmlns="http://schemas.microsoft.com/office/spreadsheetml/2009/9/main" objectType="CheckBox" fmlaLink="$R$191" lockText="1" noThreeD="1"/>
</file>

<file path=xl/ctrlProps/ctrlProp258.xml><?xml version="1.0" encoding="utf-8"?>
<formControlPr xmlns="http://schemas.microsoft.com/office/spreadsheetml/2009/9/main" objectType="CheckBox" fmlaLink="$R$192" lockText="1" noThreeD="1"/>
</file>

<file path=xl/ctrlProps/ctrlProp259.xml><?xml version="1.0" encoding="utf-8"?>
<formControlPr xmlns="http://schemas.microsoft.com/office/spreadsheetml/2009/9/main" objectType="CheckBox" fmlaLink="$R$193" lockText="1" noThreeD="1"/>
</file>

<file path=xl/ctrlProps/ctrlProp260.xml><?xml version="1.0" encoding="utf-8"?>
<formControlPr xmlns="http://schemas.microsoft.com/office/spreadsheetml/2009/9/main" objectType="CheckBox" fmlaLink="$R$194" lockText="1" noThreeD="1"/>
</file>

<file path=xl/ctrlProps/ctrlProp261.xml><?xml version="1.0" encoding="utf-8"?>
<formControlPr xmlns="http://schemas.microsoft.com/office/spreadsheetml/2009/9/main" objectType="CheckBox" fmlaLink="$R$195" lockText="1" noThreeD="1"/>
</file>

<file path=xl/ctrlProps/ctrlProp262.xml><?xml version="1.0" encoding="utf-8"?>
<formControlPr xmlns="http://schemas.microsoft.com/office/spreadsheetml/2009/9/main" objectType="CheckBox" fmlaLink="$R$196" lockText="1" noThreeD="1"/>
</file>

<file path=xl/ctrlProps/ctrlProp263.xml><?xml version="1.0" encoding="utf-8"?>
<formControlPr xmlns="http://schemas.microsoft.com/office/spreadsheetml/2009/9/main" objectType="CheckBox" fmlaLink="$R$197" lockText="1" noThreeD="1"/>
</file>

<file path=xl/ctrlProps/ctrlProp264.xml><?xml version="1.0" encoding="utf-8"?>
<formControlPr xmlns="http://schemas.microsoft.com/office/spreadsheetml/2009/9/main" objectType="CheckBox" fmlaLink="$R$198" lockText="1" noThreeD="1"/>
</file>

<file path=xl/ctrlProps/ctrlProp265.xml><?xml version="1.0" encoding="utf-8"?>
<formControlPr xmlns="http://schemas.microsoft.com/office/spreadsheetml/2009/9/main" objectType="CheckBox" fmlaLink="$R$199" lockText="1" noThreeD="1"/>
</file>

<file path=xl/ctrlProps/ctrlProp266.xml><?xml version="1.0" encoding="utf-8"?>
<formControlPr xmlns="http://schemas.microsoft.com/office/spreadsheetml/2009/9/main" objectType="CheckBox" fmlaLink="$R$200" lockText="1" noThreeD="1"/>
</file>

<file path=xl/ctrlProps/ctrlProp267.xml><?xml version="1.0" encoding="utf-8"?>
<formControlPr xmlns="http://schemas.microsoft.com/office/spreadsheetml/2009/9/main" objectType="CheckBox" fmlaLink="$R$201" lockText="1" noThreeD="1"/>
</file>

<file path=xl/ctrlProps/ctrlProp268.xml><?xml version="1.0" encoding="utf-8"?>
<formControlPr xmlns="http://schemas.microsoft.com/office/spreadsheetml/2009/9/main" objectType="CheckBox" fmlaLink="$R$202" lockText="1" noThreeD="1"/>
</file>

<file path=xl/ctrlProps/ctrlProp269.xml><?xml version="1.0" encoding="utf-8"?>
<formControlPr xmlns="http://schemas.microsoft.com/office/spreadsheetml/2009/9/main" objectType="CheckBox" fmlaLink="$R$203" lockText="1" noThreeD="1"/>
</file>

<file path=xl/ctrlProps/ctrlProp270.xml><?xml version="1.0" encoding="utf-8"?>
<formControlPr xmlns="http://schemas.microsoft.com/office/spreadsheetml/2009/9/main" objectType="CheckBox" fmlaLink="$R$204" lockText="1" noThreeD="1"/>
</file>

<file path=xl/ctrlProps/ctrlProp271.xml><?xml version="1.0" encoding="utf-8"?>
<formControlPr xmlns="http://schemas.microsoft.com/office/spreadsheetml/2009/9/main" objectType="CheckBox" fmlaLink="$R$205" lockText="1" noThreeD="1"/>
</file>

<file path=xl/ctrlProps/ctrlProp272.xml><?xml version="1.0" encoding="utf-8"?>
<formControlPr xmlns="http://schemas.microsoft.com/office/spreadsheetml/2009/9/main" objectType="CheckBox" fmlaLink="$R$206" lockText="1" noThreeD="1"/>
</file>

<file path=xl/ctrlProps/ctrlProp273.xml><?xml version="1.0" encoding="utf-8"?>
<formControlPr xmlns="http://schemas.microsoft.com/office/spreadsheetml/2009/9/main" objectType="CheckBox" fmlaLink="$R$207" lockText="1" noThreeD="1"/>
</file>

<file path=xl/ctrlProps/ctrlProp274.xml><?xml version="1.0" encoding="utf-8"?>
<formControlPr xmlns="http://schemas.microsoft.com/office/spreadsheetml/2009/9/main" objectType="CheckBox" fmlaLink="$R$208" lockText="1" noThreeD="1"/>
</file>

<file path=xl/ctrlProps/ctrlProp275.xml><?xml version="1.0" encoding="utf-8"?>
<formControlPr xmlns="http://schemas.microsoft.com/office/spreadsheetml/2009/9/main" objectType="CheckBox" fmlaLink="$R$209" lockText="1" noThreeD="1"/>
</file>

<file path=xl/ctrlProps/ctrlProp276.xml><?xml version="1.0" encoding="utf-8"?>
<formControlPr xmlns="http://schemas.microsoft.com/office/spreadsheetml/2009/9/main" objectType="CheckBox" fmlaLink="$R$210" lockText="1" noThreeD="1"/>
</file>

<file path=xl/ctrlProps/ctrlProp277.xml><?xml version="1.0" encoding="utf-8"?>
<formControlPr xmlns="http://schemas.microsoft.com/office/spreadsheetml/2009/9/main" objectType="CheckBox" fmlaLink="$R$211" lockText="1" noThreeD="1"/>
</file>

<file path=xl/ctrlProps/ctrlProp278.xml><?xml version="1.0" encoding="utf-8"?>
<formControlPr xmlns="http://schemas.microsoft.com/office/spreadsheetml/2009/9/main" objectType="CheckBox" fmlaLink="$R$212" lockText="1" noThreeD="1"/>
</file>

<file path=xl/ctrlProps/ctrlProp279.xml><?xml version="1.0" encoding="utf-8"?>
<formControlPr xmlns="http://schemas.microsoft.com/office/spreadsheetml/2009/9/main" objectType="CheckBox" fmlaLink="$R$213" lockText="1" noThreeD="1"/>
</file>

<file path=xl/ctrlProps/ctrlProp280.xml><?xml version="1.0" encoding="utf-8"?>
<formControlPr xmlns="http://schemas.microsoft.com/office/spreadsheetml/2009/9/main" objectType="CheckBox" fmlaLink="$R$214" lockText="1" noThreeD="1"/>
</file>

<file path=xl/ctrlProps/ctrlProp281.xml><?xml version="1.0" encoding="utf-8"?>
<formControlPr xmlns="http://schemas.microsoft.com/office/spreadsheetml/2009/9/main" objectType="CheckBox" fmlaLink="$R$215" lockText="1" noThreeD="1"/>
</file>

<file path=xl/ctrlProps/ctrlProp282.xml><?xml version="1.0" encoding="utf-8"?>
<formControlPr xmlns="http://schemas.microsoft.com/office/spreadsheetml/2009/9/main" objectType="CheckBox" fmlaLink="$R$216" lockText="1" noThreeD="1"/>
</file>

<file path=xl/ctrlProps/ctrlProp283.xml><?xml version="1.0" encoding="utf-8"?>
<formControlPr xmlns="http://schemas.microsoft.com/office/spreadsheetml/2009/9/main" objectType="CheckBox" fmlaLink="$R$217" lockText="1" noThreeD="1"/>
</file>

<file path=xl/ctrlProps/ctrlProp284.xml><?xml version="1.0" encoding="utf-8"?>
<formControlPr xmlns="http://schemas.microsoft.com/office/spreadsheetml/2009/9/main" objectType="CheckBox" fmlaLink="$R$218" lockText="1" noThreeD="1"/>
</file>

<file path=xl/ctrlProps/ctrlProp285.xml><?xml version="1.0" encoding="utf-8"?>
<formControlPr xmlns="http://schemas.microsoft.com/office/spreadsheetml/2009/9/main" objectType="CheckBox" fmlaLink="$R$219" lockText="1" noThreeD="1"/>
</file>

<file path=xl/ctrlProps/ctrlProp286.xml><?xml version="1.0" encoding="utf-8"?>
<formControlPr xmlns="http://schemas.microsoft.com/office/spreadsheetml/2009/9/main" objectType="CheckBox" fmlaLink="$R$220" lockText="1" noThreeD="1"/>
</file>

<file path=xl/ctrlProps/ctrlProp287.xml><?xml version="1.0" encoding="utf-8"?>
<formControlPr xmlns="http://schemas.microsoft.com/office/spreadsheetml/2009/9/main" objectType="CheckBox" fmlaLink="$R$221" lockText="1" noThreeD="1"/>
</file>

<file path=xl/ctrlProps/ctrlProp288.xml><?xml version="1.0" encoding="utf-8"?>
<formControlPr xmlns="http://schemas.microsoft.com/office/spreadsheetml/2009/9/main" objectType="CheckBox" fmlaLink="$R$222" lockText="1" noThreeD="1"/>
</file>

<file path=xl/ctrlProps/ctrlProp289.xml><?xml version="1.0" encoding="utf-8"?>
<formControlPr xmlns="http://schemas.microsoft.com/office/spreadsheetml/2009/9/main" objectType="CheckBox" fmlaLink="$R$223" lockText="1" noThreeD="1"/>
</file>

<file path=xl/ctrlProps/ctrlProp290.xml><?xml version="1.0" encoding="utf-8"?>
<formControlPr xmlns="http://schemas.microsoft.com/office/spreadsheetml/2009/9/main" objectType="CheckBox" fmlaLink="$R$224" lockText="1" noThreeD="1"/>
</file>

<file path=xl/ctrlProps/ctrlProp291.xml><?xml version="1.0" encoding="utf-8"?>
<formControlPr xmlns="http://schemas.microsoft.com/office/spreadsheetml/2009/9/main" objectType="CheckBox" fmlaLink="$R$225" lockText="1" noThreeD="1"/>
</file>

<file path=xl/ctrlProps/ctrlProp292.xml><?xml version="1.0" encoding="utf-8"?>
<formControlPr xmlns="http://schemas.microsoft.com/office/spreadsheetml/2009/9/main" objectType="CheckBox" fmlaLink="$R$226" lockText="1" noThreeD="1"/>
</file>

<file path=xl/ctrlProps/ctrlProp293.xml><?xml version="1.0" encoding="utf-8"?>
<formControlPr xmlns="http://schemas.microsoft.com/office/spreadsheetml/2009/9/main" objectType="CheckBox" fmlaLink="$R$227" lockText="1" noThreeD="1"/>
</file>

<file path=xl/ctrlProps/ctrlProp294.xml><?xml version="1.0" encoding="utf-8"?>
<formControlPr xmlns="http://schemas.microsoft.com/office/spreadsheetml/2009/9/main" objectType="CheckBox" fmlaLink="$R$228" lockText="1" noThreeD="1"/>
</file>

<file path=xl/ctrlProps/ctrlProp295.xml><?xml version="1.0" encoding="utf-8"?>
<formControlPr xmlns="http://schemas.microsoft.com/office/spreadsheetml/2009/9/main" objectType="CheckBox" fmlaLink="$R$229" lockText="1" noThreeD="1"/>
</file>

<file path=xl/ctrlProps/ctrlProp296.xml><?xml version="1.0" encoding="utf-8"?>
<formControlPr xmlns="http://schemas.microsoft.com/office/spreadsheetml/2009/9/main" objectType="CheckBox" fmlaLink="$R$230" lockText="1" noThreeD="1"/>
</file>

<file path=xl/ctrlProps/ctrlProp297.xml><?xml version="1.0" encoding="utf-8"?>
<formControlPr xmlns="http://schemas.microsoft.com/office/spreadsheetml/2009/9/main" objectType="CheckBox" fmlaLink="$R$231" lockText="1" noThreeD="1"/>
</file>

<file path=xl/ctrlProps/ctrlProp298.xml><?xml version="1.0" encoding="utf-8"?>
<formControlPr xmlns="http://schemas.microsoft.com/office/spreadsheetml/2009/9/main" objectType="CheckBox" fmlaLink="$R$232" lockText="1" noThreeD="1"/>
</file>

<file path=xl/ctrlProps/ctrlProp299.xml><?xml version="1.0" encoding="utf-8"?>
<formControlPr xmlns="http://schemas.microsoft.com/office/spreadsheetml/2009/9/main" objectType="CheckBox" fmlaLink="$R$233" lockText="1" noThreeD="1"/>
</file>

<file path=xl/ctrlProps/ctrlProp300.xml><?xml version="1.0" encoding="utf-8"?>
<formControlPr xmlns="http://schemas.microsoft.com/office/spreadsheetml/2009/9/main" objectType="CheckBox" fmlaLink="$R$234" lockText="1" noThreeD="1"/>
</file>

<file path=xl/ctrlProps/ctrlProp301.xml><?xml version="1.0" encoding="utf-8"?>
<formControlPr xmlns="http://schemas.microsoft.com/office/spreadsheetml/2009/9/main" objectType="CheckBox" fmlaLink="$R$235" lockText="1" noThreeD="1"/>
</file>

<file path=xl/ctrlProps/ctrlProp302.xml><?xml version="1.0" encoding="utf-8"?>
<formControlPr xmlns="http://schemas.microsoft.com/office/spreadsheetml/2009/9/main" objectType="CheckBox" fmlaLink="$R$236" lockText="1" noThreeD="1"/>
</file>

<file path=xl/ctrlProps/ctrlProp303.xml><?xml version="1.0" encoding="utf-8"?>
<formControlPr xmlns="http://schemas.microsoft.com/office/spreadsheetml/2009/9/main" objectType="CheckBox" fmlaLink="$R$237" lockText="1" noThreeD="1"/>
</file>

<file path=xl/ctrlProps/ctrlProp304.xml><?xml version="1.0" encoding="utf-8"?>
<formControlPr xmlns="http://schemas.microsoft.com/office/spreadsheetml/2009/9/main" objectType="CheckBox" fmlaLink="$R$238" lockText="1" noThreeD="1"/>
</file>

<file path=xl/ctrlProps/ctrlProp305.xml><?xml version="1.0" encoding="utf-8"?>
<formControlPr xmlns="http://schemas.microsoft.com/office/spreadsheetml/2009/9/main" objectType="CheckBox" fmlaLink="$R$239" lockText="1" noThreeD="1"/>
</file>

<file path=xl/ctrlProps/ctrlProp306.xml><?xml version="1.0" encoding="utf-8"?>
<formControlPr xmlns="http://schemas.microsoft.com/office/spreadsheetml/2009/9/main" objectType="CheckBox" fmlaLink="$R$240" lockText="1" noThreeD="1"/>
</file>

<file path=xl/ctrlProps/ctrlProp307.xml><?xml version="1.0" encoding="utf-8"?>
<formControlPr xmlns="http://schemas.microsoft.com/office/spreadsheetml/2009/9/main" objectType="CheckBox" fmlaLink="$R$241" lockText="1" noThreeD="1"/>
</file>

<file path=xl/ctrlProps/ctrlProp308.xml><?xml version="1.0" encoding="utf-8"?>
<formControlPr xmlns="http://schemas.microsoft.com/office/spreadsheetml/2009/9/main" objectType="CheckBox" fmlaLink="$R$242" lockText="1" noThreeD="1"/>
</file>

<file path=xl/ctrlProps/ctrlProp309.xml><?xml version="1.0" encoding="utf-8"?>
<formControlPr xmlns="http://schemas.microsoft.com/office/spreadsheetml/2009/9/main" objectType="CheckBox" fmlaLink="$R$243" lockText="1" noThreeD="1"/>
</file>

<file path=xl/ctrlProps/ctrlProp310.xml><?xml version="1.0" encoding="utf-8"?>
<formControlPr xmlns="http://schemas.microsoft.com/office/spreadsheetml/2009/9/main" objectType="CheckBox" fmlaLink="$R$244" lockText="1" noThreeD="1"/>
</file>

<file path=xl/ctrlProps/ctrlProp311.xml><?xml version="1.0" encoding="utf-8"?>
<formControlPr xmlns="http://schemas.microsoft.com/office/spreadsheetml/2009/9/main" objectType="CheckBox" fmlaLink="$R$245" lockText="1" noThreeD="1"/>
</file>

<file path=xl/ctrlProps/ctrlProp312.xml><?xml version="1.0" encoding="utf-8"?>
<formControlPr xmlns="http://schemas.microsoft.com/office/spreadsheetml/2009/9/main" objectType="CheckBox" fmlaLink="$R$246" lockText="1" noThreeD="1"/>
</file>

<file path=xl/ctrlProps/ctrlProp313.xml><?xml version="1.0" encoding="utf-8"?>
<formControlPr xmlns="http://schemas.microsoft.com/office/spreadsheetml/2009/9/main" objectType="CheckBox" fmlaLink="$R$247" lockText="1" noThreeD="1"/>
</file>

<file path=xl/ctrlProps/ctrlProp314.xml><?xml version="1.0" encoding="utf-8"?>
<formControlPr xmlns="http://schemas.microsoft.com/office/spreadsheetml/2009/9/main" objectType="CheckBox" fmlaLink="$R$248" lockText="1" noThreeD="1"/>
</file>

<file path=xl/ctrlProps/ctrlProp315.xml><?xml version="1.0" encoding="utf-8"?>
<formControlPr xmlns="http://schemas.microsoft.com/office/spreadsheetml/2009/9/main" objectType="CheckBox" fmlaLink="$R$249" lockText="1" noThreeD="1"/>
</file>

<file path=xl/ctrlProps/ctrlProp316.xml><?xml version="1.0" encoding="utf-8"?>
<formControlPr xmlns="http://schemas.microsoft.com/office/spreadsheetml/2009/9/main" objectType="CheckBox" fmlaLink="$R$250" lockText="1" noThreeD="1"/>
</file>

<file path=xl/ctrlProps/ctrlProp317.xml><?xml version="1.0" encoding="utf-8"?>
<formControlPr xmlns="http://schemas.microsoft.com/office/spreadsheetml/2009/9/main" objectType="CheckBox" fmlaLink="$R$251" lockText="1" noThreeD="1"/>
</file>

<file path=xl/ctrlProps/ctrlProp318.xml><?xml version="1.0" encoding="utf-8"?>
<formControlPr xmlns="http://schemas.microsoft.com/office/spreadsheetml/2009/9/main" objectType="CheckBox" fmlaLink="$R$252" lockText="1" noThreeD="1"/>
</file>

<file path=xl/ctrlProps/ctrlProp319.xml><?xml version="1.0" encoding="utf-8"?>
<formControlPr xmlns="http://schemas.microsoft.com/office/spreadsheetml/2009/9/main" objectType="CheckBox" fmlaLink="$R$253" lockText="1" noThreeD="1"/>
</file>

<file path=xl/ctrlProps/ctrlProp320.xml><?xml version="1.0" encoding="utf-8"?>
<formControlPr xmlns="http://schemas.microsoft.com/office/spreadsheetml/2009/9/main" objectType="CheckBox" fmlaLink="$R$254" lockText="1" noThreeD="1"/>
</file>

<file path=xl/ctrlProps/ctrlProp321.xml><?xml version="1.0" encoding="utf-8"?>
<formControlPr xmlns="http://schemas.microsoft.com/office/spreadsheetml/2009/9/main" objectType="CheckBox" fmlaLink="$R$255" lockText="1" noThreeD="1"/>
</file>

<file path=xl/ctrlProps/ctrlProp322.xml><?xml version="1.0" encoding="utf-8"?>
<formControlPr xmlns="http://schemas.microsoft.com/office/spreadsheetml/2009/9/main" objectType="CheckBox" fmlaLink="$R$256" lockText="1" noThreeD="1"/>
</file>

<file path=xl/ctrlProps/ctrlProp323.xml><?xml version="1.0" encoding="utf-8"?>
<formControlPr xmlns="http://schemas.microsoft.com/office/spreadsheetml/2009/9/main" objectType="CheckBox" fmlaLink="$R$257" lockText="1" noThreeD="1"/>
</file>

<file path=xl/ctrlProps/ctrlProp324.xml><?xml version="1.0" encoding="utf-8"?>
<formControlPr xmlns="http://schemas.microsoft.com/office/spreadsheetml/2009/9/main" objectType="CheckBox" fmlaLink="$R$258" lockText="1" noThreeD="1"/>
</file>

<file path=xl/ctrlProps/ctrlProp325.xml><?xml version="1.0" encoding="utf-8"?>
<formControlPr xmlns="http://schemas.microsoft.com/office/spreadsheetml/2009/9/main" objectType="CheckBox" fmlaLink="$R$259" lockText="1" noThreeD="1"/>
</file>

<file path=xl/ctrlProps/ctrlProp326.xml><?xml version="1.0" encoding="utf-8"?>
<formControlPr xmlns="http://schemas.microsoft.com/office/spreadsheetml/2009/9/main" objectType="CheckBox" fmlaLink="$R$260" lockText="1" noThreeD="1"/>
</file>

<file path=xl/ctrlProps/ctrlProp327.xml><?xml version="1.0" encoding="utf-8"?>
<formControlPr xmlns="http://schemas.microsoft.com/office/spreadsheetml/2009/9/main" objectType="CheckBox" fmlaLink="$R$261" lockText="1" noThreeD="1"/>
</file>

<file path=xl/ctrlProps/ctrlProp328.xml><?xml version="1.0" encoding="utf-8"?>
<formControlPr xmlns="http://schemas.microsoft.com/office/spreadsheetml/2009/9/main" objectType="CheckBox" fmlaLink="$R$262" lockText="1" noThreeD="1"/>
</file>

<file path=xl/ctrlProps/ctrlProp329.xml><?xml version="1.0" encoding="utf-8"?>
<formControlPr xmlns="http://schemas.microsoft.com/office/spreadsheetml/2009/9/main" objectType="CheckBox" fmlaLink="$R$263" lockText="1" noThreeD="1"/>
</file>

<file path=xl/ctrlProps/ctrlProp330.xml><?xml version="1.0" encoding="utf-8"?>
<formControlPr xmlns="http://schemas.microsoft.com/office/spreadsheetml/2009/9/main" objectType="CheckBox" fmlaLink="$R$264" lockText="1" noThreeD="1"/>
</file>

<file path=xl/ctrlProps/ctrlProp331.xml><?xml version="1.0" encoding="utf-8"?>
<formControlPr xmlns="http://schemas.microsoft.com/office/spreadsheetml/2009/9/main" objectType="CheckBox" fmlaLink="$R$265" lockText="1" noThreeD="1"/>
</file>

<file path=xl/ctrlProps/ctrlProp332.xml><?xml version="1.0" encoding="utf-8"?>
<formControlPr xmlns="http://schemas.microsoft.com/office/spreadsheetml/2009/9/main" objectType="CheckBox" fmlaLink="$R$266" lockText="1" noThreeD="1"/>
</file>

<file path=xl/ctrlProps/ctrlProp333.xml><?xml version="1.0" encoding="utf-8"?>
<formControlPr xmlns="http://schemas.microsoft.com/office/spreadsheetml/2009/9/main" objectType="CheckBox" fmlaLink="$R$267" lockText="1" noThreeD="1"/>
</file>

<file path=xl/ctrlProps/ctrlProp334.xml><?xml version="1.0" encoding="utf-8"?>
<formControlPr xmlns="http://schemas.microsoft.com/office/spreadsheetml/2009/9/main" objectType="CheckBox" fmlaLink="$R$268" lockText="1" noThreeD="1"/>
</file>

<file path=xl/ctrlProps/ctrlProp335.xml><?xml version="1.0" encoding="utf-8"?>
<formControlPr xmlns="http://schemas.microsoft.com/office/spreadsheetml/2009/9/main" objectType="CheckBox" fmlaLink="$R$269" lockText="1" noThreeD="1"/>
</file>

<file path=xl/ctrlProps/ctrlProp336.xml><?xml version="1.0" encoding="utf-8"?>
<formControlPr xmlns="http://schemas.microsoft.com/office/spreadsheetml/2009/9/main" objectType="CheckBox" fmlaLink="$R$270" lockText="1" noThreeD="1"/>
</file>

<file path=xl/ctrlProps/ctrlProp337.xml><?xml version="1.0" encoding="utf-8"?>
<formControlPr xmlns="http://schemas.microsoft.com/office/spreadsheetml/2009/9/main" objectType="CheckBox" fmlaLink="$R$271" lockText="1" noThreeD="1"/>
</file>

<file path=xl/ctrlProps/ctrlProp338.xml><?xml version="1.0" encoding="utf-8"?>
<formControlPr xmlns="http://schemas.microsoft.com/office/spreadsheetml/2009/9/main" objectType="CheckBox" fmlaLink="$R$272" lockText="1" noThreeD="1"/>
</file>

<file path=xl/ctrlProps/ctrlProp339.xml><?xml version="1.0" encoding="utf-8"?>
<formControlPr xmlns="http://schemas.microsoft.com/office/spreadsheetml/2009/9/main" objectType="CheckBox" fmlaLink="$R$273" lockText="1" noThreeD="1"/>
</file>

<file path=xl/ctrlProps/ctrlProp340.xml><?xml version="1.0" encoding="utf-8"?>
<formControlPr xmlns="http://schemas.microsoft.com/office/spreadsheetml/2009/9/main" objectType="CheckBox" fmlaLink="$R$274" lockText="1" noThreeD="1"/>
</file>

<file path=xl/ctrlProps/ctrlProp341.xml><?xml version="1.0" encoding="utf-8"?>
<formControlPr xmlns="http://schemas.microsoft.com/office/spreadsheetml/2009/9/main" objectType="CheckBox" fmlaLink="$R$275" lockText="1" noThreeD="1"/>
</file>

<file path=xl/ctrlProps/ctrlProp342.xml><?xml version="1.0" encoding="utf-8"?>
<formControlPr xmlns="http://schemas.microsoft.com/office/spreadsheetml/2009/9/main" objectType="CheckBox" fmlaLink="$R$276" lockText="1" noThreeD="1"/>
</file>

<file path=xl/ctrlProps/ctrlProp343.xml><?xml version="1.0" encoding="utf-8"?>
<formControlPr xmlns="http://schemas.microsoft.com/office/spreadsheetml/2009/9/main" objectType="CheckBox" fmlaLink="$R$277" lockText="1" noThreeD="1"/>
</file>

<file path=xl/ctrlProps/ctrlProp344.xml><?xml version="1.0" encoding="utf-8"?>
<formControlPr xmlns="http://schemas.microsoft.com/office/spreadsheetml/2009/9/main" objectType="CheckBox" fmlaLink="$R$278" lockText="1" noThreeD="1"/>
</file>

<file path=xl/ctrlProps/ctrlProp345.xml><?xml version="1.0" encoding="utf-8"?>
<formControlPr xmlns="http://schemas.microsoft.com/office/spreadsheetml/2009/9/main" objectType="CheckBox" fmlaLink="$R$279" lockText="1" noThreeD="1"/>
</file>

<file path=xl/ctrlProps/ctrlProp346.xml><?xml version="1.0" encoding="utf-8"?>
<formControlPr xmlns="http://schemas.microsoft.com/office/spreadsheetml/2009/9/main" objectType="CheckBox" fmlaLink="$R$280" lockText="1" noThreeD="1"/>
</file>

<file path=xl/ctrlProps/ctrlProp347.xml><?xml version="1.0" encoding="utf-8"?>
<formControlPr xmlns="http://schemas.microsoft.com/office/spreadsheetml/2009/9/main" objectType="CheckBox" fmlaLink="$R$281" lockText="1" noThreeD="1"/>
</file>

<file path=xl/ctrlProps/ctrlProp348.xml><?xml version="1.0" encoding="utf-8"?>
<formControlPr xmlns="http://schemas.microsoft.com/office/spreadsheetml/2009/9/main" objectType="CheckBox" fmlaLink="$R$282" lockText="1" noThreeD="1"/>
</file>

<file path=xl/ctrlProps/ctrlProp349.xml><?xml version="1.0" encoding="utf-8"?>
<formControlPr xmlns="http://schemas.microsoft.com/office/spreadsheetml/2009/9/main" objectType="CheckBox" fmlaLink="$R$283" lockText="1" noThreeD="1"/>
</file>

<file path=xl/ctrlProps/ctrlProp350.xml><?xml version="1.0" encoding="utf-8"?>
<formControlPr xmlns="http://schemas.microsoft.com/office/spreadsheetml/2009/9/main" objectType="CheckBox" fmlaLink="$R$284" lockText="1" noThreeD="1"/>
</file>

<file path=xl/ctrlProps/ctrlProp351.xml><?xml version="1.0" encoding="utf-8"?>
<formControlPr xmlns="http://schemas.microsoft.com/office/spreadsheetml/2009/9/main" objectType="CheckBox" fmlaLink="$R$285" lockText="1" noThreeD="1"/>
</file>

<file path=xl/ctrlProps/ctrlProp352.xml><?xml version="1.0" encoding="utf-8"?>
<formControlPr xmlns="http://schemas.microsoft.com/office/spreadsheetml/2009/9/main" objectType="CheckBox" fmlaLink="$R$286" lockText="1" noThreeD="1"/>
</file>

<file path=xl/ctrlProps/ctrlProp353.xml><?xml version="1.0" encoding="utf-8"?>
<formControlPr xmlns="http://schemas.microsoft.com/office/spreadsheetml/2009/9/main" objectType="CheckBox" fmlaLink="$R$287" lockText="1" noThreeD="1"/>
</file>

<file path=xl/ctrlProps/ctrlProp354.xml><?xml version="1.0" encoding="utf-8"?>
<formControlPr xmlns="http://schemas.microsoft.com/office/spreadsheetml/2009/9/main" objectType="CheckBox" fmlaLink="$R$288" lockText="1" noThreeD="1"/>
</file>

<file path=xl/ctrlProps/ctrlProp355.xml><?xml version="1.0" encoding="utf-8"?>
<formControlPr xmlns="http://schemas.microsoft.com/office/spreadsheetml/2009/9/main" objectType="CheckBox" fmlaLink="$R$289" lockText="1" noThreeD="1"/>
</file>

<file path=xl/ctrlProps/ctrlProp356.xml><?xml version="1.0" encoding="utf-8"?>
<formControlPr xmlns="http://schemas.microsoft.com/office/spreadsheetml/2009/9/main" objectType="CheckBox" fmlaLink="$R$290" lockText="1" noThreeD="1"/>
</file>

<file path=xl/ctrlProps/ctrlProp357.xml><?xml version="1.0" encoding="utf-8"?>
<formControlPr xmlns="http://schemas.microsoft.com/office/spreadsheetml/2009/9/main" objectType="CheckBox" fmlaLink="$R$291" lockText="1" noThreeD="1"/>
</file>

<file path=xl/ctrlProps/ctrlProp358.xml><?xml version="1.0" encoding="utf-8"?>
<formControlPr xmlns="http://schemas.microsoft.com/office/spreadsheetml/2009/9/main" objectType="CheckBox" fmlaLink="$R$292" lockText="1" noThreeD="1"/>
</file>

<file path=xl/ctrlProps/ctrlProp359.xml><?xml version="1.0" encoding="utf-8"?>
<formControlPr xmlns="http://schemas.microsoft.com/office/spreadsheetml/2009/9/main" objectType="CheckBox" fmlaLink="$R$293" lockText="1" noThreeD="1"/>
</file>

<file path=xl/ctrlProps/ctrlProp360.xml><?xml version="1.0" encoding="utf-8"?>
<formControlPr xmlns="http://schemas.microsoft.com/office/spreadsheetml/2009/9/main" objectType="CheckBox" fmlaLink="$R$294" lockText="1" noThreeD="1"/>
</file>

<file path=xl/ctrlProps/ctrlProp361.xml><?xml version="1.0" encoding="utf-8"?>
<formControlPr xmlns="http://schemas.microsoft.com/office/spreadsheetml/2009/9/main" objectType="CheckBox" fmlaLink="$R$295" lockText="1" noThreeD="1"/>
</file>

<file path=xl/ctrlProps/ctrlProp362.xml><?xml version="1.0" encoding="utf-8"?>
<formControlPr xmlns="http://schemas.microsoft.com/office/spreadsheetml/2009/9/main" objectType="CheckBox" fmlaLink="$R$296" lockText="1" noThreeD="1"/>
</file>

<file path=xl/ctrlProps/ctrlProp363.xml><?xml version="1.0" encoding="utf-8"?>
<formControlPr xmlns="http://schemas.microsoft.com/office/spreadsheetml/2009/9/main" objectType="CheckBox" fmlaLink="$R$297" lockText="1" noThreeD="1"/>
</file>

<file path=xl/ctrlProps/ctrlProp364.xml><?xml version="1.0" encoding="utf-8"?>
<formControlPr xmlns="http://schemas.microsoft.com/office/spreadsheetml/2009/9/main" objectType="CheckBox" fmlaLink="$R$298" lockText="1" noThreeD="1"/>
</file>

<file path=xl/ctrlProps/ctrlProp365.xml><?xml version="1.0" encoding="utf-8"?>
<formControlPr xmlns="http://schemas.microsoft.com/office/spreadsheetml/2009/9/main" objectType="CheckBox" fmlaLink="$R$299" lockText="1" noThreeD="1"/>
</file>

<file path=xl/ctrlProps/ctrlProp366.xml><?xml version="1.0" encoding="utf-8"?>
<formControlPr xmlns="http://schemas.microsoft.com/office/spreadsheetml/2009/9/main" objectType="CheckBox" fmlaLink="$R$300" lockText="1" noThreeD="1"/>
</file>

<file path=xl/ctrlProps/ctrlProp367.xml><?xml version="1.0" encoding="utf-8"?>
<formControlPr xmlns="http://schemas.microsoft.com/office/spreadsheetml/2009/9/main" objectType="CheckBox" fmlaLink="$R$301" lockText="1" noThreeD="1"/>
</file>

<file path=xl/ctrlProps/ctrlProp368.xml><?xml version="1.0" encoding="utf-8"?>
<formControlPr xmlns="http://schemas.microsoft.com/office/spreadsheetml/2009/9/main" objectType="CheckBox" fmlaLink="$R$302" lockText="1" noThreeD="1"/>
</file>

<file path=xl/ctrlProps/ctrlProp369.xml><?xml version="1.0" encoding="utf-8"?>
<formControlPr xmlns="http://schemas.microsoft.com/office/spreadsheetml/2009/9/main" objectType="CheckBox" fmlaLink="$R$303" lockText="1" noThreeD="1"/>
</file>

<file path=xl/ctrlProps/ctrlProp370.xml><?xml version="1.0" encoding="utf-8"?>
<formControlPr xmlns="http://schemas.microsoft.com/office/spreadsheetml/2009/9/main" objectType="CheckBox" fmlaLink="$R$304" lockText="1" noThreeD="1"/>
</file>

<file path=xl/ctrlProps/ctrlProp371.xml><?xml version="1.0" encoding="utf-8"?>
<formControlPr xmlns="http://schemas.microsoft.com/office/spreadsheetml/2009/9/main" objectType="CheckBox" fmlaLink="$R$305" lockText="1" noThreeD="1"/>
</file>

<file path=xl/ctrlProps/ctrlProp372.xml><?xml version="1.0" encoding="utf-8"?>
<formControlPr xmlns="http://schemas.microsoft.com/office/spreadsheetml/2009/9/main" objectType="CheckBox" fmlaLink="$R$306" lockText="1" noThreeD="1"/>
</file>

<file path=xl/ctrlProps/ctrlProp373.xml><?xml version="1.0" encoding="utf-8"?>
<formControlPr xmlns="http://schemas.microsoft.com/office/spreadsheetml/2009/9/main" objectType="CheckBox" fmlaLink="$R$307" lockText="1" noThreeD="1"/>
</file>

<file path=xl/ctrlProps/ctrlProp374.xml><?xml version="1.0" encoding="utf-8"?>
<formControlPr xmlns="http://schemas.microsoft.com/office/spreadsheetml/2009/9/main" objectType="CheckBox" fmlaLink="$R$308" lockText="1" noThreeD="1"/>
</file>

<file path=xl/ctrlProps/ctrlProp375.xml><?xml version="1.0" encoding="utf-8"?>
<formControlPr xmlns="http://schemas.microsoft.com/office/spreadsheetml/2009/9/main" objectType="CheckBox" fmlaLink="$R$309" lockText="1" noThreeD="1"/>
</file>

<file path=xl/ctrlProps/ctrlProp376.xml><?xml version="1.0" encoding="utf-8"?>
<formControlPr xmlns="http://schemas.microsoft.com/office/spreadsheetml/2009/9/main" objectType="CheckBox" fmlaLink="$R$310" lockText="1" noThreeD="1"/>
</file>

<file path=xl/ctrlProps/ctrlProp377.xml><?xml version="1.0" encoding="utf-8"?>
<formControlPr xmlns="http://schemas.microsoft.com/office/spreadsheetml/2009/9/main" objectType="CheckBox" fmlaLink="$R$311" lockText="1" noThreeD="1"/>
</file>

<file path=xl/ctrlProps/ctrlProp378.xml><?xml version="1.0" encoding="utf-8"?>
<formControlPr xmlns="http://schemas.microsoft.com/office/spreadsheetml/2009/9/main" objectType="CheckBox" fmlaLink="$R$312" lockText="1" noThreeD="1"/>
</file>

<file path=xl/ctrlProps/ctrlProp379.xml><?xml version="1.0" encoding="utf-8"?>
<formControlPr xmlns="http://schemas.microsoft.com/office/spreadsheetml/2009/9/main" objectType="CheckBox" fmlaLink="$R$313" lockText="1" noThreeD="1"/>
</file>

<file path=xl/ctrlProps/ctrlProp380.xml><?xml version="1.0" encoding="utf-8"?>
<formControlPr xmlns="http://schemas.microsoft.com/office/spreadsheetml/2009/9/main" objectType="CheckBox" fmlaLink="$R$314" lockText="1" noThreeD="1"/>
</file>

<file path=xl/ctrlProps/ctrlProp381.xml><?xml version="1.0" encoding="utf-8"?>
<formControlPr xmlns="http://schemas.microsoft.com/office/spreadsheetml/2009/9/main" objectType="CheckBox" fmlaLink="$R$315" lockText="1" noThreeD="1"/>
</file>

<file path=xl/ctrlProps/ctrlProp382.xml><?xml version="1.0" encoding="utf-8"?>
<formControlPr xmlns="http://schemas.microsoft.com/office/spreadsheetml/2009/9/main" objectType="CheckBox" fmlaLink="$R$316" lockText="1" noThreeD="1"/>
</file>

<file path=xl/ctrlProps/ctrlProp383.xml><?xml version="1.0" encoding="utf-8"?>
<formControlPr xmlns="http://schemas.microsoft.com/office/spreadsheetml/2009/9/main" objectType="CheckBox" fmlaLink="$R$317" lockText="1" noThreeD="1"/>
</file>

<file path=xl/ctrlProps/ctrlProp384.xml><?xml version="1.0" encoding="utf-8"?>
<formControlPr xmlns="http://schemas.microsoft.com/office/spreadsheetml/2009/9/main" objectType="CheckBox" fmlaLink="$R$318" lockText="1" noThreeD="1"/>
</file>

<file path=xl/ctrlProps/ctrlProp385.xml><?xml version="1.0" encoding="utf-8"?>
<formControlPr xmlns="http://schemas.microsoft.com/office/spreadsheetml/2009/9/main" objectType="CheckBox" fmlaLink="$R$319" lockText="1" noThreeD="1"/>
</file>

<file path=xl/ctrlProps/ctrlProp386.xml><?xml version="1.0" encoding="utf-8"?>
<formControlPr xmlns="http://schemas.microsoft.com/office/spreadsheetml/2009/9/main" objectType="CheckBox" fmlaLink="$R$320" lockText="1" noThreeD="1"/>
</file>

<file path=xl/ctrlProps/ctrlProp387.xml><?xml version="1.0" encoding="utf-8"?>
<formControlPr xmlns="http://schemas.microsoft.com/office/spreadsheetml/2009/9/main" objectType="CheckBox" fmlaLink="$R$321" lockText="1" noThreeD="1"/>
</file>

<file path=xl/ctrlProps/ctrlProp388.xml><?xml version="1.0" encoding="utf-8"?>
<formControlPr xmlns="http://schemas.microsoft.com/office/spreadsheetml/2009/9/main" objectType="CheckBox" fmlaLink="$R$322" lockText="1" noThreeD="1"/>
</file>

<file path=xl/ctrlProps/ctrlProp389.xml><?xml version="1.0" encoding="utf-8"?>
<formControlPr xmlns="http://schemas.microsoft.com/office/spreadsheetml/2009/9/main" objectType="CheckBox" fmlaLink="$R$323" lockText="1" noThreeD="1"/>
</file>

<file path=xl/ctrlProps/ctrlProp390.xml><?xml version="1.0" encoding="utf-8"?>
<formControlPr xmlns="http://schemas.microsoft.com/office/spreadsheetml/2009/9/main" objectType="CheckBox" fmlaLink="$R$324" lockText="1" noThreeD="1"/>
</file>

<file path=xl/ctrlProps/ctrlProp391.xml><?xml version="1.0" encoding="utf-8"?>
<formControlPr xmlns="http://schemas.microsoft.com/office/spreadsheetml/2009/9/main" objectType="CheckBox" fmlaLink="$R$325" lockText="1" noThreeD="1"/>
</file>

<file path=xl/ctrlProps/ctrlProp392.xml><?xml version="1.0" encoding="utf-8"?>
<formControlPr xmlns="http://schemas.microsoft.com/office/spreadsheetml/2009/9/main" objectType="CheckBox" fmlaLink="$R$326" lockText="1" noThreeD="1"/>
</file>

<file path=xl/ctrlProps/ctrlProp393.xml><?xml version="1.0" encoding="utf-8"?>
<formControlPr xmlns="http://schemas.microsoft.com/office/spreadsheetml/2009/9/main" objectType="CheckBox" fmlaLink="$R$327" lockText="1" noThreeD="1"/>
</file>

<file path=xl/ctrlProps/ctrlProp394.xml><?xml version="1.0" encoding="utf-8"?>
<formControlPr xmlns="http://schemas.microsoft.com/office/spreadsheetml/2009/9/main" objectType="CheckBox" fmlaLink="$R$328" lockText="1" noThreeD="1"/>
</file>

<file path=xl/ctrlProps/ctrlProp395.xml><?xml version="1.0" encoding="utf-8"?>
<formControlPr xmlns="http://schemas.microsoft.com/office/spreadsheetml/2009/9/main" objectType="CheckBox" fmlaLink="$R$329" lockText="1" noThreeD="1"/>
</file>

<file path=xl/ctrlProps/ctrlProp396.xml><?xml version="1.0" encoding="utf-8"?>
<formControlPr xmlns="http://schemas.microsoft.com/office/spreadsheetml/2009/9/main" objectType="CheckBox" fmlaLink="$R$330" lockText="1" noThreeD="1"/>
</file>

<file path=xl/ctrlProps/ctrlProp397.xml><?xml version="1.0" encoding="utf-8"?>
<formControlPr xmlns="http://schemas.microsoft.com/office/spreadsheetml/2009/9/main" objectType="CheckBox" fmlaLink="$R$331" lockText="1" noThreeD="1"/>
</file>

<file path=xl/ctrlProps/ctrlProp398.xml><?xml version="1.0" encoding="utf-8"?>
<formControlPr xmlns="http://schemas.microsoft.com/office/spreadsheetml/2009/9/main" objectType="CheckBox" fmlaLink="$R$332" lockText="1" noThreeD="1"/>
</file>

<file path=xl/ctrlProps/ctrlProp399.xml><?xml version="1.0" encoding="utf-8"?>
<formControlPr xmlns="http://schemas.microsoft.com/office/spreadsheetml/2009/9/main" objectType="CheckBox" fmlaLink="$R$333" lockText="1" noThreeD="1"/>
</file>

<file path=xl/ctrlProps/ctrlProp400.xml><?xml version="1.0" encoding="utf-8"?>
<formControlPr xmlns="http://schemas.microsoft.com/office/spreadsheetml/2009/9/main" objectType="CheckBox" fmlaLink="$R$334" lockText="1" noThreeD="1"/>
</file>

<file path=xl/ctrlProps/ctrlProp401.xml><?xml version="1.0" encoding="utf-8"?>
<formControlPr xmlns="http://schemas.microsoft.com/office/spreadsheetml/2009/9/main" objectType="CheckBox" fmlaLink="$R$335" lockText="1" noThreeD="1"/>
</file>

<file path=xl/ctrlProps/ctrlProp402.xml><?xml version="1.0" encoding="utf-8"?>
<formControlPr xmlns="http://schemas.microsoft.com/office/spreadsheetml/2009/9/main" objectType="CheckBox" fmlaLink="$R$336" lockText="1" noThreeD="1"/>
</file>

<file path=xl/ctrlProps/ctrlProp403.xml><?xml version="1.0" encoding="utf-8"?>
<formControlPr xmlns="http://schemas.microsoft.com/office/spreadsheetml/2009/9/main" objectType="CheckBox" fmlaLink="$R$337" lockText="1" noThreeD="1"/>
</file>

<file path=xl/ctrlProps/ctrlProp404.xml><?xml version="1.0" encoding="utf-8"?>
<formControlPr xmlns="http://schemas.microsoft.com/office/spreadsheetml/2009/9/main" objectType="CheckBox" fmlaLink="$R$338" lockText="1" noThreeD="1"/>
</file>

<file path=xl/ctrlProps/ctrlProp405.xml><?xml version="1.0" encoding="utf-8"?>
<formControlPr xmlns="http://schemas.microsoft.com/office/spreadsheetml/2009/9/main" objectType="CheckBox" fmlaLink="$R$339" lockText="1" noThreeD="1"/>
</file>

<file path=xl/ctrlProps/ctrlProp406.xml><?xml version="1.0" encoding="utf-8"?>
<formControlPr xmlns="http://schemas.microsoft.com/office/spreadsheetml/2009/9/main" objectType="CheckBox" fmlaLink="$R$340" lockText="1" noThreeD="1"/>
</file>

<file path=xl/ctrlProps/ctrlProp407.xml><?xml version="1.0" encoding="utf-8"?>
<formControlPr xmlns="http://schemas.microsoft.com/office/spreadsheetml/2009/9/main" objectType="CheckBox" fmlaLink="$R$341" lockText="1" noThreeD="1"/>
</file>

<file path=xl/ctrlProps/ctrlProp408.xml><?xml version="1.0" encoding="utf-8"?>
<formControlPr xmlns="http://schemas.microsoft.com/office/spreadsheetml/2009/9/main" objectType="CheckBox" fmlaLink="$R$342" lockText="1" noThreeD="1"/>
</file>

<file path=xl/ctrlProps/ctrlProp409.xml><?xml version="1.0" encoding="utf-8"?>
<formControlPr xmlns="http://schemas.microsoft.com/office/spreadsheetml/2009/9/main" objectType="CheckBox" fmlaLink="$R$343" lockText="1" noThreeD="1"/>
</file>

<file path=xl/ctrlProps/ctrlProp410.xml><?xml version="1.0" encoding="utf-8"?>
<formControlPr xmlns="http://schemas.microsoft.com/office/spreadsheetml/2009/9/main" objectType="CheckBox" fmlaLink="$R$344" lockText="1" noThreeD="1"/>
</file>

<file path=xl/ctrlProps/ctrlProp411.xml><?xml version="1.0" encoding="utf-8"?>
<formControlPr xmlns="http://schemas.microsoft.com/office/spreadsheetml/2009/9/main" objectType="CheckBox" fmlaLink="$R$345" lockText="1" noThreeD="1"/>
</file>

<file path=xl/ctrlProps/ctrlProp412.xml><?xml version="1.0" encoding="utf-8"?>
<formControlPr xmlns="http://schemas.microsoft.com/office/spreadsheetml/2009/9/main" objectType="CheckBox" fmlaLink="$R$346" lockText="1" noThreeD="1"/>
</file>

<file path=xl/ctrlProps/ctrlProp413.xml><?xml version="1.0" encoding="utf-8"?>
<formControlPr xmlns="http://schemas.microsoft.com/office/spreadsheetml/2009/9/main" objectType="CheckBox" fmlaLink="$R$347" lockText="1" noThreeD="1"/>
</file>

<file path=xl/ctrlProps/ctrlProp414.xml><?xml version="1.0" encoding="utf-8"?>
<formControlPr xmlns="http://schemas.microsoft.com/office/spreadsheetml/2009/9/main" objectType="CheckBox" fmlaLink="$R$348" lockText="1" noThreeD="1"/>
</file>

<file path=xl/ctrlProps/ctrlProp415.xml><?xml version="1.0" encoding="utf-8"?>
<formControlPr xmlns="http://schemas.microsoft.com/office/spreadsheetml/2009/9/main" objectType="CheckBox" fmlaLink="$R$349" lockText="1" noThreeD="1"/>
</file>

<file path=xl/ctrlProps/ctrlProp416.xml><?xml version="1.0" encoding="utf-8"?>
<formControlPr xmlns="http://schemas.microsoft.com/office/spreadsheetml/2009/9/main" objectType="CheckBox" fmlaLink="$R$350" lockText="1" noThreeD="1"/>
</file>

<file path=xl/ctrlProps/ctrlProp417.xml><?xml version="1.0" encoding="utf-8"?>
<formControlPr xmlns="http://schemas.microsoft.com/office/spreadsheetml/2009/9/main" objectType="CheckBox" fmlaLink="$R$351" lockText="1" noThreeD="1"/>
</file>

<file path=xl/ctrlProps/ctrlProp418.xml><?xml version="1.0" encoding="utf-8"?>
<formControlPr xmlns="http://schemas.microsoft.com/office/spreadsheetml/2009/9/main" objectType="CheckBox" fmlaLink="$R$352" lockText="1" noThreeD="1"/>
</file>

<file path=xl/ctrlProps/ctrlProp419.xml><?xml version="1.0" encoding="utf-8"?>
<formControlPr xmlns="http://schemas.microsoft.com/office/spreadsheetml/2009/9/main" objectType="CheckBox" fmlaLink="$R$353" lockText="1" noThreeD="1"/>
</file>

<file path=xl/ctrlProps/ctrlProp420.xml><?xml version="1.0" encoding="utf-8"?>
<formControlPr xmlns="http://schemas.microsoft.com/office/spreadsheetml/2009/9/main" objectType="CheckBox" fmlaLink="$R$354" lockText="1" noThreeD="1"/>
</file>

<file path=xl/ctrlProps/ctrlProp421.xml><?xml version="1.0" encoding="utf-8"?>
<formControlPr xmlns="http://schemas.microsoft.com/office/spreadsheetml/2009/9/main" objectType="CheckBox" fmlaLink="$R$355" lockText="1" noThreeD="1"/>
</file>

<file path=xl/ctrlProps/ctrlProp422.xml><?xml version="1.0" encoding="utf-8"?>
<formControlPr xmlns="http://schemas.microsoft.com/office/spreadsheetml/2009/9/main" objectType="CheckBox" fmlaLink="$R$356" lockText="1" noThreeD="1"/>
</file>

<file path=xl/ctrlProps/ctrlProp423.xml><?xml version="1.0" encoding="utf-8"?>
<formControlPr xmlns="http://schemas.microsoft.com/office/spreadsheetml/2009/9/main" objectType="CheckBox" fmlaLink="$R$357" lockText="1" noThreeD="1"/>
</file>

<file path=xl/ctrlProps/ctrlProp424.xml><?xml version="1.0" encoding="utf-8"?>
<formControlPr xmlns="http://schemas.microsoft.com/office/spreadsheetml/2009/9/main" objectType="CheckBox" fmlaLink="$R$358" lockText="1" noThreeD="1"/>
</file>

<file path=xl/ctrlProps/ctrlProp425.xml><?xml version="1.0" encoding="utf-8"?>
<formControlPr xmlns="http://schemas.microsoft.com/office/spreadsheetml/2009/9/main" objectType="CheckBox" fmlaLink="$R$359" lockText="1" noThreeD="1"/>
</file>

<file path=xl/ctrlProps/ctrlProp426.xml><?xml version="1.0" encoding="utf-8"?>
<formControlPr xmlns="http://schemas.microsoft.com/office/spreadsheetml/2009/9/main" objectType="CheckBox" fmlaLink="$R$360" lockText="1" noThreeD="1"/>
</file>

<file path=xl/ctrlProps/ctrlProp427.xml><?xml version="1.0" encoding="utf-8"?>
<formControlPr xmlns="http://schemas.microsoft.com/office/spreadsheetml/2009/9/main" objectType="CheckBox" fmlaLink="$R$361" lockText="1" noThreeD="1"/>
</file>

<file path=xl/ctrlProps/ctrlProp428.xml><?xml version="1.0" encoding="utf-8"?>
<formControlPr xmlns="http://schemas.microsoft.com/office/spreadsheetml/2009/9/main" objectType="CheckBox" fmlaLink="$R$362" lockText="1" noThreeD="1"/>
</file>

<file path=xl/ctrlProps/ctrlProp429.xml><?xml version="1.0" encoding="utf-8"?>
<formControlPr xmlns="http://schemas.microsoft.com/office/spreadsheetml/2009/9/main" objectType="CheckBox" fmlaLink="$R$363" lockText="1" noThreeD="1"/>
</file>

<file path=xl/ctrlProps/ctrlProp430.xml><?xml version="1.0" encoding="utf-8"?>
<formControlPr xmlns="http://schemas.microsoft.com/office/spreadsheetml/2009/9/main" objectType="CheckBox" fmlaLink="$R$364" lockText="1" noThreeD="1"/>
</file>

<file path=xl/ctrlProps/ctrlProp431.xml><?xml version="1.0" encoding="utf-8"?>
<formControlPr xmlns="http://schemas.microsoft.com/office/spreadsheetml/2009/9/main" objectType="CheckBox" fmlaLink="$R$365" lockText="1" noThreeD="1"/>
</file>

<file path=xl/ctrlProps/ctrlProp432.xml><?xml version="1.0" encoding="utf-8"?>
<formControlPr xmlns="http://schemas.microsoft.com/office/spreadsheetml/2009/9/main" objectType="CheckBox" fmlaLink="$R$366" lockText="1" noThreeD="1"/>
</file>

<file path=xl/ctrlProps/ctrlProp433.xml><?xml version="1.0" encoding="utf-8"?>
<formControlPr xmlns="http://schemas.microsoft.com/office/spreadsheetml/2009/9/main" objectType="CheckBox" fmlaLink="$R$367" lockText="1" noThreeD="1"/>
</file>

<file path=xl/ctrlProps/ctrlProp434.xml><?xml version="1.0" encoding="utf-8"?>
<formControlPr xmlns="http://schemas.microsoft.com/office/spreadsheetml/2009/9/main" objectType="CheckBox" fmlaLink="$R$368" lockText="1" noThreeD="1"/>
</file>

<file path=xl/ctrlProps/ctrlProp435.xml><?xml version="1.0" encoding="utf-8"?>
<formControlPr xmlns="http://schemas.microsoft.com/office/spreadsheetml/2009/9/main" objectType="CheckBox" fmlaLink="$R$369" lockText="1" noThreeD="1"/>
</file>

<file path=xl/ctrlProps/ctrlProp436.xml><?xml version="1.0" encoding="utf-8"?>
<formControlPr xmlns="http://schemas.microsoft.com/office/spreadsheetml/2009/9/main" objectType="CheckBox" fmlaLink="$R$370" lockText="1" noThreeD="1"/>
</file>

<file path=xl/ctrlProps/ctrlProp437.xml><?xml version="1.0" encoding="utf-8"?>
<formControlPr xmlns="http://schemas.microsoft.com/office/spreadsheetml/2009/9/main" objectType="CheckBox" fmlaLink="$R$371" lockText="1" noThreeD="1"/>
</file>

<file path=xl/ctrlProps/ctrlProp438.xml><?xml version="1.0" encoding="utf-8"?>
<formControlPr xmlns="http://schemas.microsoft.com/office/spreadsheetml/2009/9/main" objectType="CheckBox" fmlaLink="$R$372" lockText="1" noThreeD="1"/>
</file>

<file path=xl/ctrlProps/ctrlProp439.xml><?xml version="1.0" encoding="utf-8"?>
<formControlPr xmlns="http://schemas.microsoft.com/office/spreadsheetml/2009/9/main" objectType="CheckBox" fmlaLink="$R$373" lockText="1" noThreeD="1"/>
</file>

<file path=xl/ctrlProps/ctrlProp440.xml><?xml version="1.0" encoding="utf-8"?>
<formControlPr xmlns="http://schemas.microsoft.com/office/spreadsheetml/2009/9/main" objectType="CheckBox" fmlaLink="$R$374" lockText="1" noThreeD="1"/>
</file>

<file path=xl/ctrlProps/ctrlProp441.xml><?xml version="1.0" encoding="utf-8"?>
<formControlPr xmlns="http://schemas.microsoft.com/office/spreadsheetml/2009/9/main" objectType="CheckBox" fmlaLink="$R$375" lockText="1" noThreeD="1"/>
</file>

<file path=xl/ctrlProps/ctrlProp442.xml><?xml version="1.0" encoding="utf-8"?>
<formControlPr xmlns="http://schemas.microsoft.com/office/spreadsheetml/2009/9/main" objectType="CheckBox" fmlaLink="$R$376" lockText="1" noThreeD="1"/>
</file>

<file path=xl/ctrlProps/ctrlProp443.xml><?xml version="1.0" encoding="utf-8"?>
<formControlPr xmlns="http://schemas.microsoft.com/office/spreadsheetml/2009/9/main" objectType="CheckBox" fmlaLink="$R$377" lockText="1" noThreeD="1"/>
</file>

<file path=xl/ctrlProps/ctrlProp444.xml><?xml version="1.0" encoding="utf-8"?>
<formControlPr xmlns="http://schemas.microsoft.com/office/spreadsheetml/2009/9/main" objectType="CheckBox" fmlaLink="$R$378" lockText="1" noThreeD="1"/>
</file>

<file path=xl/ctrlProps/ctrlProp445.xml><?xml version="1.0" encoding="utf-8"?>
<formControlPr xmlns="http://schemas.microsoft.com/office/spreadsheetml/2009/9/main" objectType="CheckBox" fmlaLink="$R$379" lockText="1" noThreeD="1"/>
</file>

<file path=xl/ctrlProps/ctrlProp446.xml><?xml version="1.0" encoding="utf-8"?>
<formControlPr xmlns="http://schemas.microsoft.com/office/spreadsheetml/2009/9/main" objectType="CheckBox" fmlaLink="$R$380" lockText="1" noThreeD="1"/>
</file>

<file path=xl/ctrlProps/ctrlProp447.xml><?xml version="1.0" encoding="utf-8"?>
<formControlPr xmlns="http://schemas.microsoft.com/office/spreadsheetml/2009/9/main" objectType="CheckBox" fmlaLink="$R$381" lockText="1" noThreeD="1"/>
</file>

<file path=xl/ctrlProps/ctrlProp448.xml><?xml version="1.0" encoding="utf-8"?>
<formControlPr xmlns="http://schemas.microsoft.com/office/spreadsheetml/2009/9/main" objectType="CheckBox" fmlaLink="$R$382" lockText="1" noThreeD="1"/>
</file>

<file path=xl/ctrlProps/ctrlProp449.xml><?xml version="1.0" encoding="utf-8"?>
<formControlPr xmlns="http://schemas.microsoft.com/office/spreadsheetml/2009/9/main" objectType="CheckBox" fmlaLink="$R$383" lockText="1" noThreeD="1"/>
</file>

<file path=xl/ctrlProps/ctrlProp450.xml><?xml version="1.0" encoding="utf-8"?>
<formControlPr xmlns="http://schemas.microsoft.com/office/spreadsheetml/2009/9/main" objectType="CheckBox" fmlaLink="$R$384" lockText="1" noThreeD="1"/>
</file>

<file path=xl/ctrlProps/ctrlProp451.xml><?xml version="1.0" encoding="utf-8"?>
<formControlPr xmlns="http://schemas.microsoft.com/office/spreadsheetml/2009/9/main" objectType="CheckBox" fmlaLink="$R$385" lockText="1" noThreeD="1"/>
</file>

<file path=xl/ctrlProps/ctrlProp452.xml><?xml version="1.0" encoding="utf-8"?>
<formControlPr xmlns="http://schemas.microsoft.com/office/spreadsheetml/2009/9/main" objectType="CheckBox" fmlaLink="$R$386" lockText="1" noThreeD="1"/>
</file>

<file path=xl/ctrlProps/ctrlProp453.xml><?xml version="1.0" encoding="utf-8"?>
<formControlPr xmlns="http://schemas.microsoft.com/office/spreadsheetml/2009/9/main" objectType="CheckBox" fmlaLink="$R$387" lockText="1" noThreeD="1"/>
</file>

<file path=xl/ctrlProps/ctrlProp454.xml><?xml version="1.0" encoding="utf-8"?>
<formControlPr xmlns="http://schemas.microsoft.com/office/spreadsheetml/2009/9/main" objectType="CheckBox" fmlaLink="$R$388" lockText="1" noThreeD="1"/>
</file>

<file path=xl/ctrlProps/ctrlProp455.xml><?xml version="1.0" encoding="utf-8"?>
<formControlPr xmlns="http://schemas.microsoft.com/office/spreadsheetml/2009/9/main" objectType="CheckBox" fmlaLink="$R$389" lockText="1" noThreeD="1"/>
</file>

<file path=xl/ctrlProps/ctrlProp456.xml><?xml version="1.0" encoding="utf-8"?>
<formControlPr xmlns="http://schemas.microsoft.com/office/spreadsheetml/2009/9/main" objectType="CheckBox" fmlaLink="$R$390" lockText="1" noThreeD="1"/>
</file>

<file path=xl/ctrlProps/ctrlProp457.xml><?xml version="1.0" encoding="utf-8"?>
<formControlPr xmlns="http://schemas.microsoft.com/office/spreadsheetml/2009/9/main" objectType="CheckBox" fmlaLink="$R$391" lockText="1" noThreeD="1"/>
</file>

<file path=xl/ctrlProps/ctrlProp458.xml><?xml version="1.0" encoding="utf-8"?>
<formControlPr xmlns="http://schemas.microsoft.com/office/spreadsheetml/2009/9/main" objectType="CheckBox" fmlaLink="$R$392" lockText="1" noThreeD="1"/>
</file>

<file path=xl/ctrlProps/ctrlProp459.xml><?xml version="1.0" encoding="utf-8"?>
<formControlPr xmlns="http://schemas.microsoft.com/office/spreadsheetml/2009/9/main" objectType="CheckBox" fmlaLink="$R$393" lockText="1" noThreeD="1"/>
</file>

<file path=xl/ctrlProps/ctrlProp460.xml><?xml version="1.0" encoding="utf-8"?>
<formControlPr xmlns="http://schemas.microsoft.com/office/spreadsheetml/2009/9/main" objectType="CheckBox" fmlaLink="$R$394" lockText="1" noThreeD="1"/>
</file>

<file path=xl/ctrlProps/ctrlProp461.xml><?xml version="1.0" encoding="utf-8"?>
<formControlPr xmlns="http://schemas.microsoft.com/office/spreadsheetml/2009/9/main" objectType="CheckBox" fmlaLink="$R$395" lockText="1" noThreeD="1"/>
</file>

<file path=xl/ctrlProps/ctrlProp462.xml><?xml version="1.0" encoding="utf-8"?>
<formControlPr xmlns="http://schemas.microsoft.com/office/spreadsheetml/2009/9/main" objectType="CheckBox" fmlaLink="$R$396" lockText="1" noThreeD="1"/>
</file>

<file path=xl/ctrlProps/ctrlProp463.xml><?xml version="1.0" encoding="utf-8"?>
<formControlPr xmlns="http://schemas.microsoft.com/office/spreadsheetml/2009/9/main" objectType="CheckBox" fmlaLink="$R$397" lockText="1" noThreeD="1"/>
</file>

<file path=xl/ctrlProps/ctrlProp464.xml><?xml version="1.0" encoding="utf-8"?>
<formControlPr xmlns="http://schemas.microsoft.com/office/spreadsheetml/2009/9/main" objectType="CheckBox" fmlaLink="$R$398" lockText="1" noThreeD="1"/>
</file>

<file path=xl/ctrlProps/ctrlProp465.xml><?xml version="1.0" encoding="utf-8"?>
<formControlPr xmlns="http://schemas.microsoft.com/office/spreadsheetml/2009/9/main" objectType="CheckBox" fmlaLink="$R$399" lockText="1" noThreeD="1"/>
</file>

<file path=xl/ctrlProps/ctrlProp466.xml><?xml version="1.0" encoding="utf-8"?>
<formControlPr xmlns="http://schemas.microsoft.com/office/spreadsheetml/2009/9/main" objectType="CheckBox" fmlaLink="$R$400" lockText="1" noThreeD="1"/>
</file>

<file path=xl/ctrlProps/ctrlProp467.xml><?xml version="1.0" encoding="utf-8"?>
<formControlPr xmlns="http://schemas.microsoft.com/office/spreadsheetml/2009/9/main" objectType="CheckBox" fmlaLink="$R$401" lockText="1" noThreeD="1"/>
</file>

<file path=xl/ctrlProps/ctrlProp468.xml><?xml version="1.0" encoding="utf-8"?>
<formControlPr xmlns="http://schemas.microsoft.com/office/spreadsheetml/2009/9/main" objectType="CheckBox" fmlaLink="$R$402" lockText="1" noThreeD="1"/>
</file>

<file path=xl/ctrlProps/ctrlProp469.xml><?xml version="1.0" encoding="utf-8"?>
<formControlPr xmlns="http://schemas.microsoft.com/office/spreadsheetml/2009/9/main" objectType="CheckBox" fmlaLink="$R$403" lockText="1" noThreeD="1"/>
</file>

<file path=xl/ctrlProps/ctrlProp470.xml><?xml version="1.0" encoding="utf-8"?>
<formControlPr xmlns="http://schemas.microsoft.com/office/spreadsheetml/2009/9/main" objectType="CheckBox" fmlaLink="$R$404" lockText="1" noThreeD="1"/>
</file>

<file path=xl/ctrlProps/ctrlProp471.xml><?xml version="1.0" encoding="utf-8"?>
<formControlPr xmlns="http://schemas.microsoft.com/office/spreadsheetml/2009/9/main" objectType="CheckBox" fmlaLink="$R$405" lockText="1" noThreeD="1"/>
</file>

<file path=xl/ctrlProps/ctrlProp472.xml><?xml version="1.0" encoding="utf-8"?>
<formControlPr xmlns="http://schemas.microsoft.com/office/spreadsheetml/2009/9/main" objectType="CheckBox" fmlaLink="$R$406" lockText="1" noThreeD="1"/>
</file>

<file path=xl/ctrlProps/ctrlProp473.xml><?xml version="1.0" encoding="utf-8"?>
<formControlPr xmlns="http://schemas.microsoft.com/office/spreadsheetml/2009/9/main" objectType="CheckBox" fmlaLink="$R$407" lockText="1" noThreeD="1"/>
</file>

<file path=xl/ctrlProps/ctrlProp474.xml><?xml version="1.0" encoding="utf-8"?>
<formControlPr xmlns="http://schemas.microsoft.com/office/spreadsheetml/2009/9/main" objectType="CheckBox" fmlaLink="$R$408" lockText="1" noThreeD="1"/>
</file>

<file path=xl/ctrlProps/ctrlProp475.xml><?xml version="1.0" encoding="utf-8"?>
<formControlPr xmlns="http://schemas.microsoft.com/office/spreadsheetml/2009/9/main" objectType="CheckBox" fmlaLink="$R$409" lockText="1" noThreeD="1"/>
</file>

<file path=xl/ctrlProps/ctrlProp476.xml><?xml version="1.0" encoding="utf-8"?>
<formControlPr xmlns="http://schemas.microsoft.com/office/spreadsheetml/2009/9/main" objectType="CheckBox" fmlaLink="$R$410" lockText="1" noThreeD="1"/>
</file>

<file path=xl/ctrlProps/ctrlProp477.xml><?xml version="1.0" encoding="utf-8"?>
<formControlPr xmlns="http://schemas.microsoft.com/office/spreadsheetml/2009/9/main" objectType="CheckBox" fmlaLink="$R$411" lockText="1" noThreeD="1"/>
</file>

<file path=xl/ctrlProps/ctrlProp478.xml><?xml version="1.0" encoding="utf-8"?>
<formControlPr xmlns="http://schemas.microsoft.com/office/spreadsheetml/2009/9/main" objectType="CheckBox" fmlaLink="$R$412" lockText="1" noThreeD="1"/>
</file>

<file path=xl/ctrlProps/ctrlProp479.xml><?xml version="1.0" encoding="utf-8"?>
<formControlPr xmlns="http://schemas.microsoft.com/office/spreadsheetml/2009/9/main" objectType="CheckBox" fmlaLink="$R$413" lockText="1" noThreeD="1"/>
</file>

<file path=xl/ctrlProps/ctrlProp480.xml><?xml version="1.0" encoding="utf-8"?>
<formControlPr xmlns="http://schemas.microsoft.com/office/spreadsheetml/2009/9/main" objectType="CheckBox" fmlaLink="$R$414" lockText="1" noThreeD="1"/>
</file>

<file path=xl/ctrlProps/ctrlProp481.xml><?xml version="1.0" encoding="utf-8"?>
<formControlPr xmlns="http://schemas.microsoft.com/office/spreadsheetml/2009/9/main" objectType="CheckBox" fmlaLink="$R$415" lockText="1" noThreeD="1"/>
</file>

<file path=xl/ctrlProps/ctrlProp482.xml><?xml version="1.0" encoding="utf-8"?>
<formControlPr xmlns="http://schemas.microsoft.com/office/spreadsheetml/2009/9/main" objectType="CheckBox" fmlaLink="$R$416" lockText="1" noThreeD="1"/>
</file>

<file path=xl/ctrlProps/ctrlProp483.xml><?xml version="1.0" encoding="utf-8"?>
<formControlPr xmlns="http://schemas.microsoft.com/office/spreadsheetml/2009/9/main" objectType="CheckBox" fmlaLink="$R$417" lockText="1" noThreeD="1"/>
</file>

<file path=xl/ctrlProps/ctrlProp484.xml><?xml version="1.0" encoding="utf-8"?>
<formControlPr xmlns="http://schemas.microsoft.com/office/spreadsheetml/2009/9/main" objectType="CheckBox" fmlaLink="$R$418" lockText="1" noThreeD="1"/>
</file>

<file path=xl/ctrlProps/ctrlProp485.xml><?xml version="1.0" encoding="utf-8"?>
<formControlPr xmlns="http://schemas.microsoft.com/office/spreadsheetml/2009/9/main" objectType="CheckBox" fmlaLink="$R$419" lockText="1" noThreeD="1"/>
</file>

<file path=xl/ctrlProps/ctrlProp486.xml><?xml version="1.0" encoding="utf-8"?>
<formControlPr xmlns="http://schemas.microsoft.com/office/spreadsheetml/2009/9/main" objectType="CheckBox" fmlaLink="$R$420" lockText="1" noThreeD="1"/>
</file>

<file path=xl/ctrlProps/ctrlProp487.xml><?xml version="1.0" encoding="utf-8"?>
<formControlPr xmlns="http://schemas.microsoft.com/office/spreadsheetml/2009/9/main" objectType="CheckBox" fmlaLink="$R$421" lockText="1" noThreeD="1"/>
</file>

<file path=xl/ctrlProps/ctrlProp488.xml><?xml version="1.0" encoding="utf-8"?>
<formControlPr xmlns="http://schemas.microsoft.com/office/spreadsheetml/2009/9/main" objectType="CheckBox" fmlaLink="$R$422" lockText="1" noThreeD="1"/>
</file>

<file path=xl/ctrlProps/ctrlProp489.xml><?xml version="1.0" encoding="utf-8"?>
<formControlPr xmlns="http://schemas.microsoft.com/office/spreadsheetml/2009/9/main" objectType="CheckBox" fmlaLink="$R$423" lockText="1" noThreeD="1"/>
</file>

<file path=xl/ctrlProps/ctrlProp490.xml><?xml version="1.0" encoding="utf-8"?>
<formControlPr xmlns="http://schemas.microsoft.com/office/spreadsheetml/2009/9/main" objectType="CheckBox" fmlaLink="$R$424" lockText="1" noThreeD="1"/>
</file>

<file path=xl/ctrlProps/ctrlProp491.xml><?xml version="1.0" encoding="utf-8"?>
<formControlPr xmlns="http://schemas.microsoft.com/office/spreadsheetml/2009/9/main" objectType="CheckBox" fmlaLink="$R$425" lockText="1" noThreeD="1"/>
</file>

<file path=xl/ctrlProps/ctrlProp492.xml><?xml version="1.0" encoding="utf-8"?>
<formControlPr xmlns="http://schemas.microsoft.com/office/spreadsheetml/2009/9/main" objectType="CheckBox" fmlaLink="$R$426" lockText="1" noThreeD="1"/>
</file>

<file path=xl/ctrlProps/ctrlProp493.xml><?xml version="1.0" encoding="utf-8"?>
<formControlPr xmlns="http://schemas.microsoft.com/office/spreadsheetml/2009/9/main" objectType="CheckBox" fmlaLink="$R$427" lockText="1" noThreeD="1"/>
</file>

<file path=xl/ctrlProps/ctrlProp494.xml><?xml version="1.0" encoding="utf-8"?>
<formControlPr xmlns="http://schemas.microsoft.com/office/spreadsheetml/2009/9/main" objectType="CheckBox" fmlaLink="$R$428" lockText="1" noThreeD="1"/>
</file>

<file path=xl/ctrlProps/ctrlProp495.xml><?xml version="1.0" encoding="utf-8"?>
<formControlPr xmlns="http://schemas.microsoft.com/office/spreadsheetml/2009/9/main" objectType="CheckBox" fmlaLink="$R$429" lockText="1" noThreeD="1"/>
</file>

<file path=xl/ctrlProps/ctrlProp496.xml><?xml version="1.0" encoding="utf-8"?>
<formControlPr xmlns="http://schemas.microsoft.com/office/spreadsheetml/2009/9/main" objectType="CheckBox" fmlaLink="$R$430" lockText="1" noThreeD="1"/>
</file>

<file path=xl/ctrlProps/ctrlProp497.xml><?xml version="1.0" encoding="utf-8"?>
<formControlPr xmlns="http://schemas.microsoft.com/office/spreadsheetml/2009/9/main" objectType="CheckBox" fmlaLink="$R$431" lockText="1" noThreeD="1"/>
</file>

<file path=xl/ctrlProps/ctrlProp498.xml><?xml version="1.0" encoding="utf-8"?>
<formControlPr xmlns="http://schemas.microsoft.com/office/spreadsheetml/2009/9/main" objectType="CheckBox" fmlaLink="$R$432" lockText="1" noThreeD="1"/>
</file>

<file path=xl/ctrlProps/ctrlProp499.xml><?xml version="1.0" encoding="utf-8"?>
<formControlPr xmlns="http://schemas.microsoft.com/office/spreadsheetml/2009/9/main" objectType="CheckBox" fmlaLink="$R$433" lockText="1" noThreeD="1"/>
</file>

<file path=xl/ctrlProps/ctrlProp500.xml><?xml version="1.0" encoding="utf-8"?>
<formControlPr xmlns="http://schemas.microsoft.com/office/spreadsheetml/2009/9/main" objectType="CheckBox" fmlaLink="$R$434" lockText="1" noThreeD="1"/>
</file>

<file path=xl/ctrlProps/ctrlProp501.xml><?xml version="1.0" encoding="utf-8"?>
<formControlPr xmlns="http://schemas.microsoft.com/office/spreadsheetml/2009/9/main" objectType="CheckBox" fmlaLink="$R$435" lockText="1" noThreeD="1"/>
</file>

<file path=xl/ctrlProps/ctrlProp502.xml><?xml version="1.0" encoding="utf-8"?>
<formControlPr xmlns="http://schemas.microsoft.com/office/spreadsheetml/2009/9/main" objectType="CheckBox" fmlaLink="$R$436" lockText="1" noThreeD="1"/>
</file>

<file path=xl/ctrlProps/ctrlProp503.xml><?xml version="1.0" encoding="utf-8"?>
<formControlPr xmlns="http://schemas.microsoft.com/office/spreadsheetml/2009/9/main" objectType="CheckBox" fmlaLink="$R$437" lockText="1" noThreeD="1"/>
</file>

<file path=xl/ctrlProps/ctrlProp504.xml><?xml version="1.0" encoding="utf-8"?>
<formControlPr xmlns="http://schemas.microsoft.com/office/spreadsheetml/2009/9/main" objectType="CheckBox" fmlaLink="$R$438" lockText="1" noThreeD="1"/>
</file>

<file path=xl/ctrlProps/ctrlProp505.xml><?xml version="1.0" encoding="utf-8"?>
<formControlPr xmlns="http://schemas.microsoft.com/office/spreadsheetml/2009/9/main" objectType="CheckBox" fmlaLink="$R$439" lockText="1" noThreeD="1"/>
</file>

<file path=xl/ctrlProps/ctrlProp506.xml><?xml version="1.0" encoding="utf-8"?>
<formControlPr xmlns="http://schemas.microsoft.com/office/spreadsheetml/2009/9/main" objectType="CheckBox" fmlaLink="$R$440" lockText="1" noThreeD="1"/>
</file>

<file path=xl/ctrlProps/ctrlProp507.xml><?xml version="1.0" encoding="utf-8"?>
<formControlPr xmlns="http://schemas.microsoft.com/office/spreadsheetml/2009/9/main" objectType="CheckBox" fmlaLink="$R$441" lockText="1" noThreeD="1"/>
</file>

<file path=xl/ctrlProps/ctrlProp508.xml><?xml version="1.0" encoding="utf-8"?>
<formControlPr xmlns="http://schemas.microsoft.com/office/spreadsheetml/2009/9/main" objectType="CheckBox" fmlaLink="$R$442" lockText="1" noThreeD="1"/>
</file>

<file path=xl/ctrlProps/ctrlProp509.xml><?xml version="1.0" encoding="utf-8"?>
<formControlPr xmlns="http://schemas.microsoft.com/office/spreadsheetml/2009/9/main" objectType="CheckBox" fmlaLink="$R$443" lockText="1" noThreeD="1"/>
</file>

<file path=xl/ctrlProps/ctrlProp510.xml><?xml version="1.0" encoding="utf-8"?>
<formControlPr xmlns="http://schemas.microsoft.com/office/spreadsheetml/2009/9/main" objectType="CheckBox" fmlaLink="$R$444" lockText="1" noThreeD="1"/>
</file>

<file path=xl/ctrlProps/ctrlProp511.xml><?xml version="1.0" encoding="utf-8"?>
<formControlPr xmlns="http://schemas.microsoft.com/office/spreadsheetml/2009/9/main" objectType="CheckBox" fmlaLink="$R$445" lockText="1" noThreeD="1"/>
</file>

<file path=xl/ctrlProps/ctrlProp512.xml><?xml version="1.0" encoding="utf-8"?>
<formControlPr xmlns="http://schemas.microsoft.com/office/spreadsheetml/2009/9/main" objectType="CheckBox" fmlaLink="$R$446" lockText="1" noThreeD="1"/>
</file>

<file path=xl/ctrlProps/ctrlProp513.xml><?xml version="1.0" encoding="utf-8"?>
<formControlPr xmlns="http://schemas.microsoft.com/office/spreadsheetml/2009/9/main" objectType="CheckBox" fmlaLink="$R$447" lockText="1" noThreeD="1"/>
</file>

<file path=xl/ctrlProps/ctrlProp514.xml><?xml version="1.0" encoding="utf-8"?>
<formControlPr xmlns="http://schemas.microsoft.com/office/spreadsheetml/2009/9/main" objectType="CheckBox" fmlaLink="$R$448" lockText="1" noThreeD="1"/>
</file>

<file path=xl/ctrlProps/ctrlProp515.xml><?xml version="1.0" encoding="utf-8"?>
<formControlPr xmlns="http://schemas.microsoft.com/office/spreadsheetml/2009/9/main" objectType="CheckBox" fmlaLink="$R$449" lockText="1" noThreeD="1"/>
</file>

<file path=xl/ctrlProps/ctrlProp516.xml><?xml version="1.0" encoding="utf-8"?>
<formControlPr xmlns="http://schemas.microsoft.com/office/spreadsheetml/2009/9/main" objectType="CheckBox" fmlaLink="$R$450" lockText="1" noThreeD="1"/>
</file>

<file path=xl/ctrlProps/ctrlProp517.xml><?xml version="1.0" encoding="utf-8"?>
<formControlPr xmlns="http://schemas.microsoft.com/office/spreadsheetml/2009/9/main" objectType="CheckBox" fmlaLink="$R$451" lockText="1" noThreeD="1"/>
</file>

<file path=xl/ctrlProps/ctrlProp518.xml><?xml version="1.0" encoding="utf-8"?>
<formControlPr xmlns="http://schemas.microsoft.com/office/spreadsheetml/2009/9/main" objectType="CheckBox" fmlaLink="$R$452" lockText="1" noThreeD="1"/>
</file>

<file path=xl/ctrlProps/ctrlProp519.xml><?xml version="1.0" encoding="utf-8"?>
<formControlPr xmlns="http://schemas.microsoft.com/office/spreadsheetml/2009/9/main" objectType="CheckBox" fmlaLink="$R$453" lockText="1" noThreeD="1"/>
</file>

<file path=xl/ctrlProps/ctrlProp520.xml><?xml version="1.0" encoding="utf-8"?>
<formControlPr xmlns="http://schemas.microsoft.com/office/spreadsheetml/2009/9/main" objectType="CheckBox" fmlaLink="$R$454" lockText="1" noThreeD="1"/>
</file>

<file path=xl/ctrlProps/ctrlProp521.xml><?xml version="1.0" encoding="utf-8"?>
<formControlPr xmlns="http://schemas.microsoft.com/office/spreadsheetml/2009/9/main" objectType="CheckBox" fmlaLink="$R$455" lockText="1" noThreeD="1"/>
</file>

<file path=xl/ctrlProps/ctrlProp522.xml><?xml version="1.0" encoding="utf-8"?>
<formControlPr xmlns="http://schemas.microsoft.com/office/spreadsheetml/2009/9/main" objectType="CheckBox" fmlaLink="$R$456" lockText="1" noThreeD="1"/>
</file>

<file path=xl/ctrlProps/ctrlProp523.xml><?xml version="1.0" encoding="utf-8"?>
<formControlPr xmlns="http://schemas.microsoft.com/office/spreadsheetml/2009/9/main" objectType="CheckBox" fmlaLink="$R$457" lockText="1" noThreeD="1"/>
</file>

<file path=xl/ctrlProps/ctrlProp524.xml><?xml version="1.0" encoding="utf-8"?>
<formControlPr xmlns="http://schemas.microsoft.com/office/spreadsheetml/2009/9/main" objectType="CheckBox" fmlaLink="$R$458" lockText="1" noThreeD="1"/>
</file>

<file path=xl/ctrlProps/ctrlProp525.xml><?xml version="1.0" encoding="utf-8"?>
<formControlPr xmlns="http://schemas.microsoft.com/office/spreadsheetml/2009/9/main" objectType="CheckBox" fmlaLink="$R$459" lockText="1" noThreeD="1"/>
</file>

<file path=xl/ctrlProps/ctrlProp526.xml><?xml version="1.0" encoding="utf-8"?>
<formControlPr xmlns="http://schemas.microsoft.com/office/spreadsheetml/2009/9/main" objectType="CheckBox" fmlaLink="$R$460" lockText="1" noThreeD="1"/>
</file>

<file path=xl/ctrlProps/ctrlProp527.xml><?xml version="1.0" encoding="utf-8"?>
<formControlPr xmlns="http://schemas.microsoft.com/office/spreadsheetml/2009/9/main" objectType="CheckBox" fmlaLink="$R$461" lockText="1" noThreeD="1"/>
</file>

<file path=xl/ctrlProps/ctrlProp528.xml><?xml version="1.0" encoding="utf-8"?>
<formControlPr xmlns="http://schemas.microsoft.com/office/spreadsheetml/2009/9/main" objectType="CheckBox" fmlaLink="$R$462" lockText="1" noThreeD="1"/>
</file>

<file path=xl/ctrlProps/ctrlProp529.xml><?xml version="1.0" encoding="utf-8"?>
<formControlPr xmlns="http://schemas.microsoft.com/office/spreadsheetml/2009/9/main" objectType="CheckBox" fmlaLink="$R$463" lockText="1" noThreeD="1"/>
</file>

<file path=xl/ctrlProps/ctrlProp530.xml><?xml version="1.0" encoding="utf-8"?>
<formControlPr xmlns="http://schemas.microsoft.com/office/spreadsheetml/2009/9/main" objectType="CheckBox" fmlaLink="$R$464" lockText="1" noThreeD="1"/>
</file>

<file path=xl/ctrlProps/ctrlProp531.xml><?xml version="1.0" encoding="utf-8"?>
<formControlPr xmlns="http://schemas.microsoft.com/office/spreadsheetml/2009/9/main" objectType="CheckBox" fmlaLink="$R$465" lockText="1" noThreeD="1"/>
</file>

<file path=xl/ctrlProps/ctrlProp532.xml><?xml version="1.0" encoding="utf-8"?>
<formControlPr xmlns="http://schemas.microsoft.com/office/spreadsheetml/2009/9/main" objectType="CheckBox" fmlaLink="$R$466" lockText="1" noThreeD="1"/>
</file>

<file path=xl/ctrlProps/ctrlProp533.xml><?xml version="1.0" encoding="utf-8"?>
<formControlPr xmlns="http://schemas.microsoft.com/office/spreadsheetml/2009/9/main" objectType="CheckBox" fmlaLink="$R$467" lockText="1" noThreeD="1"/>
</file>

<file path=xl/ctrlProps/ctrlProp534.xml><?xml version="1.0" encoding="utf-8"?>
<formControlPr xmlns="http://schemas.microsoft.com/office/spreadsheetml/2009/9/main" objectType="CheckBox" fmlaLink="$R$468" lockText="1" noThreeD="1"/>
</file>

<file path=xl/ctrlProps/ctrlProp535.xml><?xml version="1.0" encoding="utf-8"?>
<formControlPr xmlns="http://schemas.microsoft.com/office/spreadsheetml/2009/9/main" objectType="CheckBox" fmlaLink="$R$469" lockText="1" noThreeD="1"/>
</file>

<file path=xl/ctrlProps/ctrlProp536.xml><?xml version="1.0" encoding="utf-8"?>
<formControlPr xmlns="http://schemas.microsoft.com/office/spreadsheetml/2009/9/main" objectType="CheckBox" fmlaLink="$R$470" lockText="1" noThreeD="1"/>
</file>

<file path=xl/ctrlProps/ctrlProp537.xml><?xml version="1.0" encoding="utf-8"?>
<formControlPr xmlns="http://schemas.microsoft.com/office/spreadsheetml/2009/9/main" objectType="CheckBox" fmlaLink="$R$471" lockText="1" noThreeD="1"/>
</file>

<file path=xl/ctrlProps/ctrlProp538.xml><?xml version="1.0" encoding="utf-8"?>
<formControlPr xmlns="http://schemas.microsoft.com/office/spreadsheetml/2009/9/main" objectType="CheckBox" fmlaLink="$R$472" lockText="1" noThreeD="1"/>
</file>

<file path=xl/ctrlProps/ctrlProp539.xml><?xml version="1.0" encoding="utf-8"?>
<formControlPr xmlns="http://schemas.microsoft.com/office/spreadsheetml/2009/9/main" objectType="CheckBox" fmlaLink="$R$473" lockText="1" noThreeD="1"/>
</file>

<file path=xl/ctrlProps/ctrlProp540.xml><?xml version="1.0" encoding="utf-8"?>
<formControlPr xmlns="http://schemas.microsoft.com/office/spreadsheetml/2009/9/main" objectType="CheckBox" fmlaLink="$R$474" lockText="1" noThreeD="1"/>
</file>

<file path=xl/ctrlProps/ctrlProp541.xml><?xml version="1.0" encoding="utf-8"?>
<formControlPr xmlns="http://schemas.microsoft.com/office/spreadsheetml/2009/9/main" objectType="CheckBox" fmlaLink="$R$475" lockText="1" noThreeD="1"/>
</file>

<file path=xl/ctrlProps/ctrlProp542.xml><?xml version="1.0" encoding="utf-8"?>
<formControlPr xmlns="http://schemas.microsoft.com/office/spreadsheetml/2009/9/main" objectType="CheckBox" fmlaLink="$R$476" lockText="1" noThreeD="1"/>
</file>

<file path=xl/ctrlProps/ctrlProp543.xml><?xml version="1.0" encoding="utf-8"?>
<formControlPr xmlns="http://schemas.microsoft.com/office/spreadsheetml/2009/9/main" objectType="CheckBox" fmlaLink="$R$477" lockText="1" noThreeD="1"/>
</file>

<file path=xl/ctrlProps/ctrlProp544.xml><?xml version="1.0" encoding="utf-8"?>
<formControlPr xmlns="http://schemas.microsoft.com/office/spreadsheetml/2009/9/main" objectType="CheckBox" fmlaLink="$R$478" lockText="1" noThreeD="1"/>
</file>

<file path=xl/ctrlProps/ctrlProp545.xml><?xml version="1.0" encoding="utf-8"?>
<formControlPr xmlns="http://schemas.microsoft.com/office/spreadsheetml/2009/9/main" objectType="CheckBox" fmlaLink="$R$479" lockText="1" noThreeD="1"/>
</file>

<file path=xl/ctrlProps/ctrlProp546.xml><?xml version="1.0" encoding="utf-8"?>
<formControlPr xmlns="http://schemas.microsoft.com/office/spreadsheetml/2009/9/main" objectType="CheckBox" fmlaLink="$R$480" lockText="1" noThreeD="1"/>
</file>

<file path=xl/ctrlProps/ctrlProp547.xml><?xml version="1.0" encoding="utf-8"?>
<formControlPr xmlns="http://schemas.microsoft.com/office/spreadsheetml/2009/9/main" objectType="CheckBox" fmlaLink="$R$481" lockText="1" noThreeD="1"/>
</file>

<file path=xl/ctrlProps/ctrlProp548.xml><?xml version="1.0" encoding="utf-8"?>
<formControlPr xmlns="http://schemas.microsoft.com/office/spreadsheetml/2009/9/main" objectType="CheckBox" fmlaLink="$R$482" lockText="1" noThreeD="1"/>
</file>

<file path=xl/ctrlProps/ctrlProp549.xml><?xml version="1.0" encoding="utf-8"?>
<formControlPr xmlns="http://schemas.microsoft.com/office/spreadsheetml/2009/9/main" objectType="CheckBox" fmlaLink="$R$483" lockText="1" noThreeD="1"/>
</file>

<file path=xl/ctrlProps/ctrlProp550.xml><?xml version="1.0" encoding="utf-8"?>
<formControlPr xmlns="http://schemas.microsoft.com/office/spreadsheetml/2009/9/main" objectType="CheckBox" fmlaLink="$R$484" lockText="1" noThreeD="1"/>
</file>

<file path=xl/ctrlProps/ctrlProp551.xml><?xml version="1.0" encoding="utf-8"?>
<formControlPr xmlns="http://schemas.microsoft.com/office/spreadsheetml/2009/9/main" objectType="CheckBox" fmlaLink="$R$485" lockText="1" noThreeD="1"/>
</file>

<file path=xl/ctrlProps/ctrlProp552.xml><?xml version="1.0" encoding="utf-8"?>
<formControlPr xmlns="http://schemas.microsoft.com/office/spreadsheetml/2009/9/main" objectType="CheckBox" fmlaLink="$R$486" lockText="1" noThreeD="1"/>
</file>

<file path=xl/ctrlProps/ctrlProp553.xml><?xml version="1.0" encoding="utf-8"?>
<formControlPr xmlns="http://schemas.microsoft.com/office/spreadsheetml/2009/9/main" objectType="CheckBox" fmlaLink="$D$9" lockText="1" noThreeD="1"/>
</file>

<file path=xl/ctrlProps/ctrlProp554.xml><?xml version="1.0" encoding="utf-8"?>
<formControlPr xmlns="http://schemas.microsoft.com/office/spreadsheetml/2009/9/main" objectType="CheckBox" fmlaLink="$D$10" lockText="1" noThreeD="1"/>
</file>

<file path=xl/ctrlProps/ctrlProp555.xml><?xml version="1.0" encoding="utf-8"?>
<formControlPr xmlns="http://schemas.microsoft.com/office/spreadsheetml/2009/9/main" objectType="CheckBox" fmlaLink="$D$11" lockText="1" noThreeD="1"/>
</file>

<file path=xl/ctrlProps/ctrlProp556.xml><?xml version="1.0" encoding="utf-8"?>
<formControlPr xmlns="http://schemas.microsoft.com/office/spreadsheetml/2009/9/main" objectType="CheckBox" fmlaLink="$D$12" lockText="1" noThreeD="1"/>
</file>

<file path=xl/ctrlProps/ctrlProp557.xml><?xml version="1.0" encoding="utf-8"?>
<formControlPr xmlns="http://schemas.microsoft.com/office/spreadsheetml/2009/9/main" objectType="CheckBox" fmlaLink="$D$13" lockText="1" noThreeD="1"/>
</file>

<file path=xl/ctrlProps/ctrlProp558.xml><?xml version="1.0" encoding="utf-8"?>
<formControlPr xmlns="http://schemas.microsoft.com/office/spreadsheetml/2009/9/main" objectType="CheckBox" fmlaLink="$D$14" lockText="1" noThreeD="1"/>
</file>

<file path=xl/ctrlProps/ctrlProp559.xml><?xml version="1.0" encoding="utf-8"?>
<formControlPr xmlns="http://schemas.microsoft.com/office/spreadsheetml/2009/9/main" objectType="CheckBox" fmlaLink="$D$15" lockText="1" noThreeD="1"/>
</file>

<file path=xl/ctrlProps/ctrlProp560.xml><?xml version="1.0" encoding="utf-8"?>
<formControlPr xmlns="http://schemas.microsoft.com/office/spreadsheetml/2009/9/main" objectType="CheckBox" fmlaLink="$D$16" lockText="1" noThreeD="1"/>
</file>

<file path=xl/ctrlProps/ctrlProp561.xml><?xml version="1.0" encoding="utf-8"?>
<formControlPr xmlns="http://schemas.microsoft.com/office/spreadsheetml/2009/9/main" objectType="CheckBox" fmlaLink="$D$17" lockText="1" noThreeD="1"/>
</file>

<file path=xl/ctrlProps/ctrlProp562.xml><?xml version="1.0" encoding="utf-8"?>
<formControlPr xmlns="http://schemas.microsoft.com/office/spreadsheetml/2009/9/main" objectType="CheckBox" fmlaLink="$D$18" lockText="1" noThreeD="1"/>
</file>

<file path=xl/ctrlProps/ctrlProp563.xml><?xml version="1.0" encoding="utf-8"?>
<formControlPr xmlns="http://schemas.microsoft.com/office/spreadsheetml/2009/9/main" objectType="CheckBox" fmlaLink="$D$19" lockText="1" noThreeD="1"/>
</file>

<file path=xl/ctrlProps/ctrlProp564.xml><?xml version="1.0" encoding="utf-8"?>
<formControlPr xmlns="http://schemas.microsoft.com/office/spreadsheetml/2009/9/main" objectType="CheckBox" fmlaLink="$D$20" lockText="1" noThreeD="1"/>
</file>

<file path=xl/ctrlProps/ctrlProp565.xml><?xml version="1.0" encoding="utf-8"?>
<formControlPr xmlns="http://schemas.microsoft.com/office/spreadsheetml/2009/9/main" objectType="CheckBox" fmlaLink="$D$21" lockText="1" noThreeD="1"/>
</file>

<file path=xl/ctrlProps/ctrlProp566.xml><?xml version="1.0" encoding="utf-8"?>
<formControlPr xmlns="http://schemas.microsoft.com/office/spreadsheetml/2009/9/main" objectType="CheckBox" fmlaLink="$D$22" lockText="1" noThreeD="1"/>
</file>

<file path=xl/ctrlProps/ctrlProp567.xml><?xml version="1.0" encoding="utf-8"?>
<formControlPr xmlns="http://schemas.microsoft.com/office/spreadsheetml/2009/9/main" objectType="CheckBox" fmlaLink="$D$23" lockText="1" noThreeD="1"/>
</file>

<file path=xl/ctrlProps/ctrlProp568.xml><?xml version="1.0" encoding="utf-8"?>
<formControlPr xmlns="http://schemas.microsoft.com/office/spreadsheetml/2009/9/main" objectType="CheckBox" fmlaLink="$D$24" lockText="1" noThreeD="1"/>
</file>

<file path=xl/ctrlProps/ctrlProp569.xml><?xml version="1.0" encoding="utf-8"?>
<formControlPr xmlns="http://schemas.microsoft.com/office/spreadsheetml/2009/9/main" objectType="CheckBox" fmlaLink="$D$25" lockText="1" noThreeD="1"/>
</file>

<file path=xl/ctrlProps/ctrlProp570.xml><?xml version="1.0" encoding="utf-8"?>
<formControlPr xmlns="http://schemas.microsoft.com/office/spreadsheetml/2009/9/main" objectType="CheckBox" fmlaLink="$D$26" lockText="1" noThreeD="1"/>
</file>

<file path=xl/ctrlProps/ctrlProp571.xml><?xml version="1.0" encoding="utf-8"?>
<formControlPr xmlns="http://schemas.microsoft.com/office/spreadsheetml/2009/9/main" objectType="CheckBox" fmlaLink="$D$27" lockText="1" noThreeD="1"/>
</file>

<file path=xl/ctrlProps/ctrlProp572.xml><?xml version="1.0" encoding="utf-8"?>
<formControlPr xmlns="http://schemas.microsoft.com/office/spreadsheetml/2009/9/main" objectType="CheckBox" fmlaLink="$D$28" lockText="1" noThreeD="1"/>
</file>

<file path=xl/ctrlProps/ctrlProp573.xml><?xml version="1.0" encoding="utf-8"?>
<formControlPr xmlns="http://schemas.microsoft.com/office/spreadsheetml/2009/9/main" objectType="CheckBox" fmlaLink="$D$29" lockText="1" noThreeD="1"/>
</file>

<file path=xl/ctrlProps/ctrlProp574.xml><?xml version="1.0" encoding="utf-8"?>
<formControlPr xmlns="http://schemas.microsoft.com/office/spreadsheetml/2009/9/main" objectType="CheckBox" fmlaLink="$D$30" lockText="1" noThreeD="1"/>
</file>

<file path=xl/ctrlProps/ctrlProp575.xml><?xml version="1.0" encoding="utf-8"?>
<formControlPr xmlns="http://schemas.microsoft.com/office/spreadsheetml/2009/9/main" objectType="CheckBox" fmlaLink="$D$31" lockText="1" noThreeD="1"/>
</file>

<file path=xl/ctrlProps/ctrlProp576.xml><?xml version="1.0" encoding="utf-8"?>
<formControlPr xmlns="http://schemas.microsoft.com/office/spreadsheetml/2009/9/main" objectType="CheckBox" fmlaLink="$D$32" lockText="1" noThreeD="1"/>
</file>

<file path=xl/ctrlProps/ctrlProp577.xml><?xml version="1.0" encoding="utf-8"?>
<formControlPr xmlns="http://schemas.microsoft.com/office/spreadsheetml/2009/9/main" objectType="CheckBox" fmlaLink="$D$33" lockText="1" noThreeD="1"/>
</file>

<file path=xl/ctrlProps/ctrlProp578.xml><?xml version="1.0" encoding="utf-8"?>
<formControlPr xmlns="http://schemas.microsoft.com/office/spreadsheetml/2009/9/main" objectType="CheckBox" fmlaLink="$D$34" lockText="1" noThreeD="1"/>
</file>

<file path=xl/ctrlProps/ctrlProp579.xml><?xml version="1.0" encoding="utf-8"?>
<formControlPr xmlns="http://schemas.microsoft.com/office/spreadsheetml/2009/9/main" objectType="CheckBox" fmlaLink="$D$35" lockText="1" noThreeD="1"/>
</file>

<file path=xl/ctrlProps/ctrlProp580.xml><?xml version="1.0" encoding="utf-8"?>
<formControlPr xmlns="http://schemas.microsoft.com/office/spreadsheetml/2009/9/main" objectType="CheckBox" fmlaLink="$D$36" lockText="1" noThreeD="1"/>
</file>

<file path=xl/ctrlProps/ctrlProp581.xml><?xml version="1.0" encoding="utf-8"?>
<formControlPr xmlns="http://schemas.microsoft.com/office/spreadsheetml/2009/9/main" objectType="CheckBox" fmlaLink="$D$37" lockText="1" noThreeD="1"/>
</file>

<file path=xl/ctrlProps/ctrlProp582.xml><?xml version="1.0" encoding="utf-8"?>
<formControlPr xmlns="http://schemas.microsoft.com/office/spreadsheetml/2009/9/main" objectType="CheckBox" fmlaLink="$D$38" lockText="1" noThreeD="1"/>
</file>

<file path=xl/ctrlProps/ctrlProp583.xml><?xml version="1.0" encoding="utf-8"?>
<formControlPr xmlns="http://schemas.microsoft.com/office/spreadsheetml/2009/9/main" objectType="CheckBox" fmlaLink="$D$39" lockText="1" noThreeD="1"/>
</file>

<file path=xl/ctrlProps/ctrlProp584.xml><?xml version="1.0" encoding="utf-8"?>
<formControlPr xmlns="http://schemas.microsoft.com/office/spreadsheetml/2009/9/main" objectType="CheckBox" fmlaLink="$D$40" lockText="1" noThreeD="1"/>
</file>

<file path=xl/ctrlProps/ctrlProp585.xml><?xml version="1.0" encoding="utf-8"?>
<formControlPr xmlns="http://schemas.microsoft.com/office/spreadsheetml/2009/9/main" objectType="CheckBox" fmlaLink="$D$41" lockText="1" noThreeD="1"/>
</file>

<file path=xl/ctrlProps/ctrlProp586.xml><?xml version="1.0" encoding="utf-8"?>
<formControlPr xmlns="http://schemas.microsoft.com/office/spreadsheetml/2009/9/main" objectType="CheckBox" fmlaLink="$D$42" lockText="1" noThreeD="1"/>
</file>

<file path=xl/ctrlProps/ctrlProp587.xml><?xml version="1.0" encoding="utf-8"?>
<formControlPr xmlns="http://schemas.microsoft.com/office/spreadsheetml/2009/9/main" objectType="CheckBox" fmlaLink="$D$43" lockText="1" noThreeD="1"/>
</file>

<file path=xl/ctrlProps/ctrlProp588.xml><?xml version="1.0" encoding="utf-8"?>
<formControlPr xmlns="http://schemas.microsoft.com/office/spreadsheetml/2009/9/main" objectType="CheckBox" fmlaLink="$D$44" lockText="1" noThreeD="1"/>
</file>

<file path=xl/ctrlProps/ctrlProp589.xml><?xml version="1.0" encoding="utf-8"?>
<formControlPr xmlns="http://schemas.microsoft.com/office/spreadsheetml/2009/9/main" objectType="CheckBox" fmlaLink="$D$45" lockText="1" noThreeD="1"/>
</file>

<file path=xl/ctrlProps/ctrlProp590.xml><?xml version="1.0" encoding="utf-8"?>
<formControlPr xmlns="http://schemas.microsoft.com/office/spreadsheetml/2009/9/main" objectType="CheckBox" fmlaLink="$D$46" lockText="1" noThreeD="1"/>
</file>

<file path=xl/ctrlProps/ctrlProp591.xml><?xml version="1.0" encoding="utf-8"?>
<formControlPr xmlns="http://schemas.microsoft.com/office/spreadsheetml/2009/9/main" objectType="CheckBox" fmlaLink="$D$47" lockText="1" noThreeD="1"/>
</file>

<file path=xl/ctrlProps/ctrlProp592.xml><?xml version="1.0" encoding="utf-8"?>
<formControlPr xmlns="http://schemas.microsoft.com/office/spreadsheetml/2009/9/main" objectType="CheckBox" fmlaLink="$D$48" lockText="1" noThreeD="1"/>
</file>

<file path=xl/ctrlProps/ctrlProp593.xml><?xml version="1.0" encoding="utf-8"?>
<formControlPr xmlns="http://schemas.microsoft.com/office/spreadsheetml/2009/9/main" objectType="CheckBox" fmlaLink="$D$49" lockText="1" noThreeD="1"/>
</file>

<file path=xl/ctrlProps/ctrlProp594.xml><?xml version="1.0" encoding="utf-8"?>
<formControlPr xmlns="http://schemas.microsoft.com/office/spreadsheetml/2009/9/main" objectType="CheckBox" fmlaLink="$D$50" lockText="1" noThreeD="1"/>
</file>

<file path=xl/ctrlProps/ctrlProp595.xml><?xml version="1.0" encoding="utf-8"?>
<formControlPr xmlns="http://schemas.microsoft.com/office/spreadsheetml/2009/9/main" objectType="CheckBox" fmlaLink="$D$51" lockText="1" noThreeD="1"/>
</file>

<file path=xl/ctrlProps/ctrlProp596.xml><?xml version="1.0" encoding="utf-8"?>
<formControlPr xmlns="http://schemas.microsoft.com/office/spreadsheetml/2009/9/main" objectType="CheckBox" fmlaLink="$D$52" lockText="1" noThreeD="1"/>
</file>

<file path=xl/ctrlProps/ctrlProp597.xml><?xml version="1.0" encoding="utf-8"?>
<formControlPr xmlns="http://schemas.microsoft.com/office/spreadsheetml/2009/9/main" objectType="CheckBox" fmlaLink="$D$53" lockText="1" noThreeD="1"/>
</file>

<file path=xl/ctrlProps/ctrlProp598.xml><?xml version="1.0" encoding="utf-8"?>
<formControlPr xmlns="http://schemas.microsoft.com/office/spreadsheetml/2009/9/main" objectType="CheckBox" fmlaLink="$D$54" lockText="1" noThreeD="1"/>
</file>

<file path=xl/ctrlProps/ctrlProp599.xml><?xml version="1.0" encoding="utf-8"?>
<formControlPr xmlns="http://schemas.microsoft.com/office/spreadsheetml/2009/9/main" objectType="CheckBox" fmlaLink="$D$55" lockText="1" noThreeD="1"/>
</file>

<file path=xl/ctrlProps/ctrlProp600.xml><?xml version="1.0" encoding="utf-8"?>
<formControlPr xmlns="http://schemas.microsoft.com/office/spreadsheetml/2009/9/main" objectType="CheckBox" fmlaLink="$D$56" lockText="1" noThreeD="1"/>
</file>

<file path=xl/ctrlProps/ctrlProp601.xml><?xml version="1.0" encoding="utf-8"?>
<formControlPr xmlns="http://schemas.microsoft.com/office/spreadsheetml/2009/9/main" objectType="CheckBox" fmlaLink="$D$57" lockText="1" noThreeD="1"/>
</file>

<file path=xl/ctrlProps/ctrlProp602.xml><?xml version="1.0" encoding="utf-8"?>
<formControlPr xmlns="http://schemas.microsoft.com/office/spreadsheetml/2009/9/main" objectType="CheckBox" fmlaLink="$D$58" lockText="1" noThreeD="1"/>
</file>

<file path=xl/ctrlProps/ctrlProp603.xml><?xml version="1.0" encoding="utf-8"?>
<formControlPr xmlns="http://schemas.microsoft.com/office/spreadsheetml/2009/9/main" objectType="CheckBox" fmlaLink="$D$9" lockText="1" noThreeD="1"/>
</file>

<file path=xl/ctrlProps/ctrlProp604.xml><?xml version="1.0" encoding="utf-8"?>
<formControlPr xmlns="http://schemas.microsoft.com/office/spreadsheetml/2009/9/main" objectType="CheckBox" fmlaLink="$D$10" lockText="1" noThreeD="1"/>
</file>

<file path=xl/ctrlProps/ctrlProp605.xml><?xml version="1.0" encoding="utf-8"?>
<formControlPr xmlns="http://schemas.microsoft.com/office/spreadsheetml/2009/9/main" objectType="CheckBox" fmlaLink="$D$11" lockText="1" noThreeD="1"/>
</file>

<file path=xl/ctrlProps/ctrlProp606.xml><?xml version="1.0" encoding="utf-8"?>
<formControlPr xmlns="http://schemas.microsoft.com/office/spreadsheetml/2009/9/main" objectType="CheckBox" fmlaLink="$D$12" lockText="1" noThreeD="1"/>
</file>

<file path=xl/ctrlProps/ctrlProp607.xml><?xml version="1.0" encoding="utf-8"?>
<formControlPr xmlns="http://schemas.microsoft.com/office/spreadsheetml/2009/9/main" objectType="CheckBox" fmlaLink="$D$13" lockText="1" noThreeD="1"/>
</file>

<file path=xl/ctrlProps/ctrlProp608.xml><?xml version="1.0" encoding="utf-8"?>
<formControlPr xmlns="http://schemas.microsoft.com/office/spreadsheetml/2009/9/main" objectType="CheckBox" fmlaLink="$D$14" lockText="1" noThreeD="1"/>
</file>

<file path=xl/ctrlProps/ctrlProp609.xml><?xml version="1.0" encoding="utf-8"?>
<formControlPr xmlns="http://schemas.microsoft.com/office/spreadsheetml/2009/9/main" objectType="CheckBox" fmlaLink="$D$15" lockText="1" noThreeD="1"/>
</file>

<file path=xl/ctrlProps/ctrlProp610.xml><?xml version="1.0" encoding="utf-8"?>
<formControlPr xmlns="http://schemas.microsoft.com/office/spreadsheetml/2009/9/main" objectType="CheckBox" fmlaLink="$D$16" lockText="1" noThreeD="1"/>
</file>

<file path=xl/ctrlProps/ctrlProp611.xml><?xml version="1.0" encoding="utf-8"?>
<formControlPr xmlns="http://schemas.microsoft.com/office/spreadsheetml/2009/9/main" objectType="CheckBox" fmlaLink="$D$17" lockText="1" noThreeD="1"/>
</file>

<file path=xl/ctrlProps/ctrlProp612.xml><?xml version="1.0" encoding="utf-8"?>
<formControlPr xmlns="http://schemas.microsoft.com/office/spreadsheetml/2009/9/main" objectType="CheckBox" fmlaLink="$D$18" lockText="1" noThreeD="1"/>
</file>

<file path=xl/ctrlProps/ctrlProp613.xml><?xml version="1.0" encoding="utf-8"?>
<formControlPr xmlns="http://schemas.microsoft.com/office/spreadsheetml/2009/9/main" objectType="CheckBox" fmlaLink="$D$19" lockText="1" noThreeD="1"/>
</file>

<file path=xl/ctrlProps/ctrlProp614.xml><?xml version="1.0" encoding="utf-8"?>
<formControlPr xmlns="http://schemas.microsoft.com/office/spreadsheetml/2009/9/main" objectType="CheckBox" fmlaLink="$D$20" lockText="1" noThreeD="1"/>
</file>

<file path=xl/ctrlProps/ctrlProp615.xml><?xml version="1.0" encoding="utf-8"?>
<formControlPr xmlns="http://schemas.microsoft.com/office/spreadsheetml/2009/9/main" objectType="CheckBox" fmlaLink="$D$21" lockText="1" noThreeD="1"/>
</file>

<file path=xl/ctrlProps/ctrlProp616.xml><?xml version="1.0" encoding="utf-8"?>
<formControlPr xmlns="http://schemas.microsoft.com/office/spreadsheetml/2009/9/main" objectType="CheckBox" fmlaLink="$D$22" lockText="1" noThreeD="1"/>
</file>

<file path=xl/ctrlProps/ctrlProp617.xml><?xml version="1.0" encoding="utf-8"?>
<formControlPr xmlns="http://schemas.microsoft.com/office/spreadsheetml/2009/9/main" objectType="CheckBox" fmlaLink="$D$23" lockText="1" noThreeD="1"/>
</file>

<file path=xl/ctrlProps/ctrlProp618.xml><?xml version="1.0" encoding="utf-8"?>
<formControlPr xmlns="http://schemas.microsoft.com/office/spreadsheetml/2009/9/main" objectType="CheckBox" fmlaLink="$D$24" lockText="1" noThreeD="1"/>
</file>

<file path=xl/ctrlProps/ctrlProp619.xml><?xml version="1.0" encoding="utf-8"?>
<formControlPr xmlns="http://schemas.microsoft.com/office/spreadsheetml/2009/9/main" objectType="CheckBox" fmlaLink="$D$25" lockText="1" noThreeD="1"/>
</file>

<file path=xl/ctrlProps/ctrlProp620.xml><?xml version="1.0" encoding="utf-8"?>
<formControlPr xmlns="http://schemas.microsoft.com/office/spreadsheetml/2009/9/main" objectType="CheckBox" fmlaLink="$D$26" lockText="1" noThreeD="1"/>
</file>

<file path=xl/ctrlProps/ctrlProp621.xml><?xml version="1.0" encoding="utf-8"?>
<formControlPr xmlns="http://schemas.microsoft.com/office/spreadsheetml/2009/9/main" objectType="CheckBox" fmlaLink="$D$27" lockText="1" noThreeD="1"/>
</file>

<file path=xl/ctrlProps/ctrlProp622.xml><?xml version="1.0" encoding="utf-8"?>
<formControlPr xmlns="http://schemas.microsoft.com/office/spreadsheetml/2009/9/main" objectType="CheckBox" fmlaLink="$D$28" lockText="1" noThreeD="1"/>
</file>

<file path=xl/ctrlProps/ctrlProp623.xml><?xml version="1.0" encoding="utf-8"?>
<formControlPr xmlns="http://schemas.microsoft.com/office/spreadsheetml/2009/9/main" objectType="CheckBox" fmlaLink="$D$29" lockText="1" noThreeD="1"/>
</file>

<file path=xl/ctrlProps/ctrlProp624.xml><?xml version="1.0" encoding="utf-8"?>
<formControlPr xmlns="http://schemas.microsoft.com/office/spreadsheetml/2009/9/main" objectType="CheckBox" fmlaLink="$D$30" lockText="1" noThreeD="1"/>
</file>

<file path=xl/ctrlProps/ctrlProp625.xml><?xml version="1.0" encoding="utf-8"?>
<formControlPr xmlns="http://schemas.microsoft.com/office/spreadsheetml/2009/9/main" objectType="CheckBox" fmlaLink="$E$9" lockText="1" noThreeD="1"/>
</file>

<file path=xl/ctrlProps/ctrlProp626.xml><?xml version="1.0" encoding="utf-8"?>
<formControlPr xmlns="http://schemas.microsoft.com/office/spreadsheetml/2009/9/main" objectType="CheckBox" fmlaLink="$E$10" lockText="1" noThreeD="1"/>
</file>

<file path=xl/ctrlProps/ctrlProp627.xml><?xml version="1.0" encoding="utf-8"?>
<formControlPr xmlns="http://schemas.microsoft.com/office/spreadsheetml/2009/9/main" objectType="CheckBox" fmlaLink="$E$11" lockText="1" noThreeD="1"/>
</file>

<file path=xl/ctrlProps/ctrlProp628.xml><?xml version="1.0" encoding="utf-8"?>
<formControlPr xmlns="http://schemas.microsoft.com/office/spreadsheetml/2009/9/main" objectType="CheckBox" fmlaLink="$E$12" lockText="1" noThreeD="1"/>
</file>

<file path=xl/ctrlProps/ctrlProp629.xml><?xml version="1.0" encoding="utf-8"?>
<formControlPr xmlns="http://schemas.microsoft.com/office/spreadsheetml/2009/9/main" objectType="CheckBox" fmlaLink="$E$13" lockText="1" noThreeD="1"/>
</file>

<file path=xl/ctrlProps/ctrlProp630.xml><?xml version="1.0" encoding="utf-8"?>
<formControlPr xmlns="http://schemas.microsoft.com/office/spreadsheetml/2009/9/main" objectType="CheckBox" fmlaLink="$E$14" lockText="1" noThreeD="1"/>
</file>

<file path=xl/ctrlProps/ctrlProp631.xml><?xml version="1.0" encoding="utf-8"?>
<formControlPr xmlns="http://schemas.microsoft.com/office/spreadsheetml/2009/9/main" objectType="CheckBox" fmlaLink="$E$15" lockText="1" noThreeD="1"/>
</file>

<file path=xl/ctrlProps/ctrlProp632.xml><?xml version="1.0" encoding="utf-8"?>
<formControlPr xmlns="http://schemas.microsoft.com/office/spreadsheetml/2009/9/main" objectType="CheckBox" fmlaLink="$E$16" lockText="1" noThreeD="1"/>
</file>

<file path=xl/ctrlProps/ctrlProp633.xml><?xml version="1.0" encoding="utf-8"?>
<formControlPr xmlns="http://schemas.microsoft.com/office/spreadsheetml/2009/9/main" objectType="CheckBox" fmlaLink="$E$17" lockText="1" noThreeD="1"/>
</file>

<file path=xl/ctrlProps/ctrlProp634.xml><?xml version="1.0" encoding="utf-8"?>
<formControlPr xmlns="http://schemas.microsoft.com/office/spreadsheetml/2009/9/main" objectType="CheckBox" fmlaLink="$E$18" lockText="1" noThreeD="1"/>
</file>

<file path=xl/ctrlProps/ctrlProp635.xml><?xml version="1.0" encoding="utf-8"?>
<formControlPr xmlns="http://schemas.microsoft.com/office/spreadsheetml/2009/9/main" objectType="CheckBox" fmlaLink="$E$19" lockText="1" noThreeD="1"/>
</file>

<file path=xl/ctrlProps/ctrlProp636.xml><?xml version="1.0" encoding="utf-8"?>
<formControlPr xmlns="http://schemas.microsoft.com/office/spreadsheetml/2009/9/main" objectType="CheckBox" fmlaLink="$E$20" lockText="1" noThreeD="1"/>
</file>

<file path=xl/ctrlProps/ctrlProp637.xml><?xml version="1.0" encoding="utf-8"?>
<formControlPr xmlns="http://schemas.microsoft.com/office/spreadsheetml/2009/9/main" objectType="CheckBox" fmlaLink="$E$21" lockText="1" noThreeD="1"/>
</file>

<file path=xl/ctrlProps/ctrlProp638.xml><?xml version="1.0" encoding="utf-8"?>
<formControlPr xmlns="http://schemas.microsoft.com/office/spreadsheetml/2009/9/main" objectType="CheckBox" fmlaLink="$E$22" lockText="1" noThreeD="1"/>
</file>

<file path=xl/ctrlProps/ctrlProp639.xml><?xml version="1.0" encoding="utf-8"?>
<formControlPr xmlns="http://schemas.microsoft.com/office/spreadsheetml/2009/9/main" objectType="CheckBox" fmlaLink="$E$23" lockText="1" noThreeD="1"/>
</file>

<file path=xl/ctrlProps/ctrlProp640.xml><?xml version="1.0" encoding="utf-8"?>
<formControlPr xmlns="http://schemas.microsoft.com/office/spreadsheetml/2009/9/main" objectType="CheckBox" fmlaLink="$E$24" lockText="1" noThreeD="1"/>
</file>

<file path=xl/ctrlProps/ctrlProp641.xml><?xml version="1.0" encoding="utf-8"?>
<formControlPr xmlns="http://schemas.microsoft.com/office/spreadsheetml/2009/9/main" objectType="CheckBox" fmlaLink="$E$25" lockText="1" noThreeD="1"/>
</file>

<file path=xl/ctrlProps/ctrlProp642.xml><?xml version="1.0" encoding="utf-8"?>
<formControlPr xmlns="http://schemas.microsoft.com/office/spreadsheetml/2009/9/main" objectType="CheckBox" fmlaLink="$E$26" lockText="1" noThreeD="1"/>
</file>

<file path=xl/ctrlProps/ctrlProp643.xml><?xml version="1.0" encoding="utf-8"?>
<formControlPr xmlns="http://schemas.microsoft.com/office/spreadsheetml/2009/9/main" objectType="CheckBox" fmlaLink="$E$27" lockText="1" noThreeD="1"/>
</file>

<file path=xl/ctrlProps/ctrlProp644.xml><?xml version="1.0" encoding="utf-8"?>
<formControlPr xmlns="http://schemas.microsoft.com/office/spreadsheetml/2009/9/main" objectType="CheckBox" fmlaLink="$E$28" lockText="1" noThreeD="1"/>
</file>

<file path=xl/ctrlProps/ctrlProp645.xml><?xml version="1.0" encoding="utf-8"?>
<formControlPr xmlns="http://schemas.microsoft.com/office/spreadsheetml/2009/9/main" objectType="CheckBox" fmlaLink="$E$29" lockText="1" noThreeD="1"/>
</file>

<file path=xl/ctrlProps/ctrlProp646.xml><?xml version="1.0" encoding="utf-8"?>
<formControlPr xmlns="http://schemas.microsoft.com/office/spreadsheetml/2009/9/main" objectType="CheckBox" fmlaLink="$E$30" lockText="1" noThreeD="1"/>
</file>

<file path=xl/ctrlProps/ctrlProp647.xml><?xml version="1.0" encoding="utf-8"?>
<formControlPr xmlns="http://schemas.microsoft.com/office/spreadsheetml/2009/9/main" objectType="CheckBox" fmlaLink="$E$31" lockText="1" noThreeD="1"/>
</file>

<file path=xl/ctrlProps/ctrlProp648.xml><?xml version="1.0" encoding="utf-8"?>
<formControlPr xmlns="http://schemas.microsoft.com/office/spreadsheetml/2009/9/main" objectType="CheckBox" fmlaLink="$E$32" lockText="1" noThreeD="1"/>
</file>

<file path=xl/ctrlProps/ctrlProp649.xml><?xml version="1.0" encoding="utf-8"?>
<formControlPr xmlns="http://schemas.microsoft.com/office/spreadsheetml/2009/9/main" objectType="CheckBox" fmlaLink="$E$33" lockText="1" noThreeD="1"/>
</file>

<file path=xl/ctrlProps/ctrlProp650.xml><?xml version="1.0" encoding="utf-8"?>
<formControlPr xmlns="http://schemas.microsoft.com/office/spreadsheetml/2009/9/main" objectType="CheckBox" fmlaLink="$E$34" lockText="1" noThreeD="1"/>
</file>

<file path=xl/ctrlProps/ctrlProp651.xml><?xml version="1.0" encoding="utf-8"?>
<formControlPr xmlns="http://schemas.microsoft.com/office/spreadsheetml/2009/9/main" objectType="CheckBox" fmlaLink="$E$35" lockText="1" noThreeD="1"/>
</file>

<file path=xl/ctrlProps/ctrlProp652.xml><?xml version="1.0" encoding="utf-8"?>
<formControlPr xmlns="http://schemas.microsoft.com/office/spreadsheetml/2009/9/main" objectType="CheckBox" fmlaLink="$E$36" lockText="1" noThreeD="1"/>
</file>

<file path=xl/ctrlProps/ctrlProp653.xml><?xml version="1.0" encoding="utf-8"?>
<formControlPr xmlns="http://schemas.microsoft.com/office/spreadsheetml/2009/9/main" objectType="CheckBox" fmlaLink="$E$37" lockText="1" noThreeD="1"/>
</file>

<file path=xl/ctrlProps/ctrlProp654.xml><?xml version="1.0" encoding="utf-8"?>
<formControlPr xmlns="http://schemas.microsoft.com/office/spreadsheetml/2009/9/main" objectType="CheckBox" fmlaLink="$E$38" lockText="1" noThreeD="1"/>
</file>

<file path=xl/ctrlProps/ctrlProp655.xml><?xml version="1.0" encoding="utf-8"?>
<formControlPr xmlns="http://schemas.microsoft.com/office/spreadsheetml/2009/9/main" objectType="CheckBox" fmlaLink="$E$9" lockText="1" noThreeD="1"/>
</file>

<file path=xl/ctrlProps/ctrlProp656.xml><?xml version="1.0" encoding="utf-8"?>
<formControlPr xmlns="http://schemas.microsoft.com/office/spreadsheetml/2009/9/main" objectType="CheckBox" fmlaLink="$E$10" lockText="1" noThreeD="1"/>
</file>

<file path=xl/ctrlProps/ctrlProp657.xml><?xml version="1.0" encoding="utf-8"?>
<formControlPr xmlns="http://schemas.microsoft.com/office/spreadsheetml/2009/9/main" objectType="CheckBox" fmlaLink="$E$11" lockText="1" noThreeD="1"/>
</file>

<file path=xl/ctrlProps/ctrlProp658.xml><?xml version="1.0" encoding="utf-8"?>
<formControlPr xmlns="http://schemas.microsoft.com/office/spreadsheetml/2009/9/main" objectType="CheckBox" fmlaLink="$E$12" lockText="1" noThreeD="1"/>
</file>

<file path=xl/ctrlProps/ctrlProp659.xml><?xml version="1.0" encoding="utf-8"?>
<formControlPr xmlns="http://schemas.microsoft.com/office/spreadsheetml/2009/9/main" objectType="CheckBox" fmlaLink="$E$13" lockText="1" noThreeD="1"/>
</file>

<file path=xl/ctrlProps/ctrlProp660.xml><?xml version="1.0" encoding="utf-8"?>
<formControlPr xmlns="http://schemas.microsoft.com/office/spreadsheetml/2009/9/main" objectType="CheckBox" fmlaLink="$E$14" lockText="1" noThreeD="1"/>
</file>

<file path=xl/ctrlProps/ctrlProp661.xml><?xml version="1.0" encoding="utf-8"?>
<formControlPr xmlns="http://schemas.microsoft.com/office/spreadsheetml/2009/9/main" objectType="CheckBox" fmlaLink="$E$15" lockText="1" noThreeD="1"/>
</file>

<file path=xl/ctrlProps/ctrlProp662.xml><?xml version="1.0" encoding="utf-8"?>
<formControlPr xmlns="http://schemas.microsoft.com/office/spreadsheetml/2009/9/main" objectType="CheckBox" fmlaLink="$E$16" lockText="1" noThreeD="1"/>
</file>

<file path=xl/ctrlProps/ctrlProp663.xml><?xml version="1.0" encoding="utf-8"?>
<formControlPr xmlns="http://schemas.microsoft.com/office/spreadsheetml/2009/9/main" objectType="CheckBox" fmlaLink="$E$17" lockText="1" noThreeD="1"/>
</file>

<file path=xl/ctrlProps/ctrlProp664.xml><?xml version="1.0" encoding="utf-8"?>
<formControlPr xmlns="http://schemas.microsoft.com/office/spreadsheetml/2009/9/main" objectType="CheckBox" fmlaLink="$E$18" lockText="1" noThreeD="1"/>
</file>

<file path=xl/ctrlProps/ctrlProp665.xml><?xml version="1.0" encoding="utf-8"?>
<formControlPr xmlns="http://schemas.microsoft.com/office/spreadsheetml/2009/9/main" objectType="CheckBox" fmlaLink="$E$19" lockText="1" noThreeD="1"/>
</file>

<file path=xl/ctrlProps/ctrlProp666.xml><?xml version="1.0" encoding="utf-8"?>
<formControlPr xmlns="http://schemas.microsoft.com/office/spreadsheetml/2009/9/main" objectType="CheckBox" fmlaLink="$D$9" lockText="1" noThreeD="1"/>
</file>

<file path=xl/ctrlProps/ctrlProp667.xml><?xml version="1.0" encoding="utf-8"?>
<formControlPr xmlns="http://schemas.microsoft.com/office/spreadsheetml/2009/9/main" objectType="CheckBox" fmlaLink="$D$10" lockText="1" noThreeD="1"/>
</file>

<file path=xl/ctrlProps/ctrlProp668.xml><?xml version="1.0" encoding="utf-8"?>
<formControlPr xmlns="http://schemas.microsoft.com/office/spreadsheetml/2009/9/main" objectType="CheckBox" fmlaLink="$D$11" lockText="1" noThreeD="1"/>
</file>

<file path=xl/ctrlProps/ctrlProp669.xml><?xml version="1.0" encoding="utf-8"?>
<formControlPr xmlns="http://schemas.microsoft.com/office/spreadsheetml/2009/9/main" objectType="CheckBox" fmlaLink="$D$12" lockText="1" noThreeD="1"/>
</file>

<file path=xl/ctrlProps/ctrlProp670.xml><?xml version="1.0" encoding="utf-8"?>
<formControlPr xmlns="http://schemas.microsoft.com/office/spreadsheetml/2009/9/main" objectType="CheckBox" fmlaLink="$D$13" lockText="1" noThreeD="1"/>
</file>

<file path=xl/ctrlProps/ctrlProp671.xml><?xml version="1.0" encoding="utf-8"?>
<formControlPr xmlns="http://schemas.microsoft.com/office/spreadsheetml/2009/9/main" objectType="CheckBox" fmlaLink="$D$14" lockText="1" noThreeD="1"/>
</file>

<file path=xl/ctrlProps/ctrlProp672.xml><?xml version="1.0" encoding="utf-8"?>
<formControlPr xmlns="http://schemas.microsoft.com/office/spreadsheetml/2009/9/main" objectType="CheckBox" fmlaLink="$D$15" lockText="1" noThreeD="1"/>
</file>

<file path=xl/ctrlProps/ctrlProp673.xml><?xml version="1.0" encoding="utf-8"?>
<formControlPr xmlns="http://schemas.microsoft.com/office/spreadsheetml/2009/9/main" objectType="CheckBox" fmlaLink="$D$16" lockText="1" noThreeD="1"/>
</file>

<file path=xl/ctrlProps/ctrlProp674.xml><?xml version="1.0" encoding="utf-8"?>
<formControlPr xmlns="http://schemas.microsoft.com/office/spreadsheetml/2009/9/main" objectType="CheckBox" fmlaLink="$D$17" lockText="1" noThreeD="1"/>
</file>

<file path=xl/ctrlProps/ctrlProp675.xml><?xml version="1.0" encoding="utf-8"?>
<formControlPr xmlns="http://schemas.microsoft.com/office/spreadsheetml/2009/9/main" objectType="CheckBox" fmlaLink="$D$18" lockText="1" noThreeD="1"/>
</file>

<file path=xl/ctrlProps/ctrlProp676.xml><?xml version="1.0" encoding="utf-8"?>
<formControlPr xmlns="http://schemas.microsoft.com/office/spreadsheetml/2009/9/main" objectType="CheckBox" fmlaLink="$D$19" lockText="1" noThreeD="1"/>
</file>

<file path=xl/ctrlProps/ctrlProp677.xml><?xml version="1.0" encoding="utf-8"?>
<formControlPr xmlns="http://schemas.microsoft.com/office/spreadsheetml/2009/9/main" objectType="CheckBox" fmlaLink="$D$20" lockText="1" noThreeD="1"/>
</file>

<file path=xl/ctrlProps/ctrlProp678.xml><?xml version="1.0" encoding="utf-8"?>
<formControlPr xmlns="http://schemas.microsoft.com/office/spreadsheetml/2009/9/main" objectType="CheckBox" fmlaLink="$D$21" lockText="1" noThreeD="1"/>
</file>

<file path=xl/ctrlProps/ctrlProp679.xml><?xml version="1.0" encoding="utf-8"?>
<formControlPr xmlns="http://schemas.microsoft.com/office/spreadsheetml/2009/9/main" objectType="CheckBox" fmlaLink="$D$22" lockText="1" noThreeD="1"/>
</file>

<file path=xl/ctrlProps/ctrlProp680.xml><?xml version="1.0" encoding="utf-8"?>
<formControlPr xmlns="http://schemas.microsoft.com/office/spreadsheetml/2009/9/main" objectType="CheckBox" fmlaLink="$D$23" lockText="1" noThreeD="1"/>
</file>

<file path=xl/ctrlProps/ctrlProp681.xml><?xml version="1.0" encoding="utf-8"?>
<formControlPr xmlns="http://schemas.microsoft.com/office/spreadsheetml/2009/9/main" objectType="CheckBox" fmlaLink="$D$24" lockText="1" noThreeD="1"/>
</file>

<file path=xl/ctrlProps/ctrlProp682.xml><?xml version="1.0" encoding="utf-8"?>
<formControlPr xmlns="http://schemas.microsoft.com/office/spreadsheetml/2009/9/main" objectType="CheckBox" fmlaLink="$D$25" lockText="1" noThreeD="1"/>
</file>

<file path=xl/ctrlProps/ctrlProp683.xml><?xml version="1.0" encoding="utf-8"?>
<formControlPr xmlns="http://schemas.microsoft.com/office/spreadsheetml/2009/9/main" objectType="CheckBox" fmlaLink="$D$26" lockText="1" noThreeD="1"/>
</file>

<file path=xl/ctrlProps/ctrlProp684.xml><?xml version="1.0" encoding="utf-8"?>
<formControlPr xmlns="http://schemas.microsoft.com/office/spreadsheetml/2009/9/main" objectType="CheckBox" fmlaLink="$D$27" lockText="1" noThreeD="1"/>
</file>

<file path=xl/ctrlProps/ctrlProp685.xml><?xml version="1.0" encoding="utf-8"?>
<formControlPr xmlns="http://schemas.microsoft.com/office/spreadsheetml/2009/9/main" objectType="CheckBox" fmlaLink="$D$28" lockText="1" noThreeD="1"/>
</file>

<file path=xl/ctrlProps/ctrlProp686.xml><?xml version="1.0" encoding="utf-8"?>
<formControlPr xmlns="http://schemas.microsoft.com/office/spreadsheetml/2009/9/main" objectType="CheckBox" fmlaLink="$D$29" lockText="1" noThreeD="1"/>
</file>

<file path=xl/ctrlProps/ctrlProp687.xml><?xml version="1.0" encoding="utf-8"?>
<formControlPr xmlns="http://schemas.microsoft.com/office/spreadsheetml/2009/9/main" objectType="CheckBox" fmlaLink="$D$9" lockText="1" noThreeD="1"/>
</file>

<file path=xl/ctrlProps/ctrlProp688.xml><?xml version="1.0" encoding="utf-8"?>
<formControlPr xmlns="http://schemas.microsoft.com/office/spreadsheetml/2009/9/main" objectType="CheckBox" fmlaLink="$D$10" lockText="1" noThreeD="1"/>
</file>

<file path=xl/ctrlProps/ctrlProp689.xml><?xml version="1.0" encoding="utf-8"?>
<formControlPr xmlns="http://schemas.microsoft.com/office/spreadsheetml/2009/9/main" objectType="CheckBox" fmlaLink="$D$11" lockText="1" noThreeD="1"/>
</file>

<file path=xl/ctrlProps/ctrlProp690.xml><?xml version="1.0" encoding="utf-8"?>
<formControlPr xmlns="http://schemas.microsoft.com/office/spreadsheetml/2009/9/main" objectType="CheckBox" fmlaLink="$D$12" lockText="1" noThreeD="1"/>
</file>

<file path=xl/ctrlProps/ctrlProp691.xml><?xml version="1.0" encoding="utf-8"?>
<formControlPr xmlns="http://schemas.microsoft.com/office/spreadsheetml/2009/9/main" objectType="CheckBox" fmlaLink="$D$13" lockText="1" noThreeD="1"/>
</file>

<file path=xl/ctrlProps/ctrlProp692.xml><?xml version="1.0" encoding="utf-8"?>
<formControlPr xmlns="http://schemas.microsoft.com/office/spreadsheetml/2009/9/main" objectType="CheckBox" fmlaLink="$D$14" lockText="1" noThreeD="1"/>
</file>

<file path=xl/ctrlProps/ctrlProp693.xml><?xml version="1.0" encoding="utf-8"?>
<formControlPr xmlns="http://schemas.microsoft.com/office/spreadsheetml/2009/9/main" objectType="CheckBox" fmlaLink="$D$15" lockText="1" noThreeD="1"/>
</file>

<file path=xl/ctrlProps/ctrlProp694.xml><?xml version="1.0" encoding="utf-8"?>
<formControlPr xmlns="http://schemas.microsoft.com/office/spreadsheetml/2009/9/main" objectType="CheckBox" fmlaLink="$D$16" lockText="1" noThreeD="1"/>
</file>

<file path=xl/ctrlProps/ctrlProp695.xml><?xml version="1.0" encoding="utf-8"?>
<formControlPr xmlns="http://schemas.microsoft.com/office/spreadsheetml/2009/9/main" objectType="CheckBox" fmlaLink="$D$17" lockText="1" noThreeD="1"/>
</file>

<file path=xl/ctrlProps/ctrlProp696.xml><?xml version="1.0" encoding="utf-8"?>
<formControlPr xmlns="http://schemas.microsoft.com/office/spreadsheetml/2009/9/main" objectType="CheckBox" fmlaLink="$D$18" lockText="1" noThreeD="1"/>
</file>

<file path=xl/ctrlProps/ctrlProp697.xml><?xml version="1.0" encoding="utf-8"?>
<formControlPr xmlns="http://schemas.microsoft.com/office/spreadsheetml/2009/9/main" objectType="CheckBox" fmlaLink="$D$19" lockText="1" noThreeD="1"/>
</file>

<file path=xl/ctrlProps/ctrlProp698.xml><?xml version="1.0" encoding="utf-8"?>
<formControlPr xmlns="http://schemas.microsoft.com/office/spreadsheetml/2009/9/main" objectType="CheckBox" fmlaLink="$D$20" lockText="1" noThreeD="1"/>
</file>

<file path=xl/ctrlProps/ctrlProp699.xml><?xml version="1.0" encoding="utf-8"?>
<formControlPr xmlns="http://schemas.microsoft.com/office/spreadsheetml/2009/9/main" objectType="CheckBox" fmlaLink="$D$21" lockText="1" noThreeD="1"/>
</file>

<file path=xl/ctrlProps/ctrlProp700.xml><?xml version="1.0" encoding="utf-8"?>
<formControlPr xmlns="http://schemas.microsoft.com/office/spreadsheetml/2009/9/main" objectType="CheckBox" fmlaLink="$D$22" lockText="1" noThreeD="1"/>
</file>

<file path=xl/ctrlProps/ctrlProp701.xml><?xml version="1.0" encoding="utf-8"?>
<formControlPr xmlns="http://schemas.microsoft.com/office/spreadsheetml/2009/9/main" objectType="CheckBox" fmlaLink="$D$23" lockText="1" noThreeD="1"/>
</file>

<file path=xl/ctrlProps/ctrlProp702.xml><?xml version="1.0" encoding="utf-8"?>
<formControlPr xmlns="http://schemas.microsoft.com/office/spreadsheetml/2009/9/main" objectType="CheckBox" fmlaLink="$D$24" lockText="1" noThreeD="1"/>
</file>

<file path=xl/ctrlProps/ctrlProp703.xml><?xml version="1.0" encoding="utf-8"?>
<formControlPr xmlns="http://schemas.microsoft.com/office/spreadsheetml/2009/9/main" objectType="CheckBox" fmlaLink="$D$25" lockText="1" noThreeD="1"/>
</file>

<file path=xl/ctrlProps/ctrlProp704.xml><?xml version="1.0" encoding="utf-8"?>
<formControlPr xmlns="http://schemas.microsoft.com/office/spreadsheetml/2009/9/main" objectType="CheckBox" fmlaLink="$D$26" lockText="1" noThreeD="1"/>
</file>

<file path=xl/ctrlProps/ctrlProp705.xml><?xml version="1.0" encoding="utf-8"?>
<formControlPr xmlns="http://schemas.microsoft.com/office/spreadsheetml/2009/9/main" objectType="CheckBox" fmlaLink="$D$27" lockText="1" noThreeD="1"/>
</file>

<file path=xl/ctrlProps/ctrlProp706.xml><?xml version="1.0" encoding="utf-8"?>
<formControlPr xmlns="http://schemas.microsoft.com/office/spreadsheetml/2009/9/main" objectType="CheckBox" fmlaLink="$D$28" lockText="1" noThreeD="1"/>
</file>

<file path=xl/ctrlProps/ctrlProp707.xml><?xml version="1.0" encoding="utf-8"?>
<formControlPr xmlns="http://schemas.microsoft.com/office/spreadsheetml/2009/9/main" objectType="CheckBox" fmlaLink="$D$29" lockText="1" noThreeD="1"/>
</file>

<file path=xl/ctrlProps/ctrlProp708.xml><?xml version="1.0" encoding="utf-8"?>
<formControlPr xmlns="http://schemas.microsoft.com/office/spreadsheetml/2009/9/main" objectType="CheckBox" fmlaLink="$D$30" lockText="1" noThreeD="1"/>
</file>

<file path=xl/ctrlProps/ctrlProp709.xml><?xml version="1.0" encoding="utf-8"?>
<formControlPr xmlns="http://schemas.microsoft.com/office/spreadsheetml/2009/9/main" objectType="CheckBox" fmlaLink="$D$31" lockText="1" noThreeD="1"/>
</file>

<file path=xl/ctrlProps/ctrlProp710.xml><?xml version="1.0" encoding="utf-8"?>
<formControlPr xmlns="http://schemas.microsoft.com/office/spreadsheetml/2009/9/main" objectType="CheckBox" fmlaLink="$D$32" lockText="1" noThreeD="1"/>
</file>

<file path=xl/ctrlProps/ctrlProp711.xml><?xml version="1.0" encoding="utf-8"?>
<formControlPr xmlns="http://schemas.microsoft.com/office/spreadsheetml/2009/9/main" objectType="CheckBox" fmlaLink="$D$33" lockText="1" noThreeD="1"/>
</file>

<file path=xl/ctrlProps/ctrlProp712.xml><?xml version="1.0" encoding="utf-8"?>
<formControlPr xmlns="http://schemas.microsoft.com/office/spreadsheetml/2009/9/main" objectType="CheckBox" fmlaLink="$D$34" lockText="1" noThreeD="1"/>
</file>

<file path=xl/ctrlProps/ctrlProp713.xml><?xml version="1.0" encoding="utf-8"?>
<formControlPr xmlns="http://schemas.microsoft.com/office/spreadsheetml/2009/9/main" objectType="CheckBox" fmlaLink="$D$35" lockText="1" noThreeD="1"/>
</file>

<file path=xl/ctrlProps/ctrlProp714.xml><?xml version="1.0" encoding="utf-8"?>
<formControlPr xmlns="http://schemas.microsoft.com/office/spreadsheetml/2009/9/main" objectType="CheckBox" fmlaLink="$D$36" lockText="1" noThreeD="1"/>
</file>

<file path=xl/ctrlProps/ctrlProp715.xml><?xml version="1.0" encoding="utf-8"?>
<formControlPr xmlns="http://schemas.microsoft.com/office/spreadsheetml/2009/9/main" objectType="CheckBox" fmlaLink="$D$37" lockText="1" noThreeD="1"/>
</file>

<file path=xl/ctrlProps/ctrlProp716.xml><?xml version="1.0" encoding="utf-8"?>
<formControlPr xmlns="http://schemas.microsoft.com/office/spreadsheetml/2009/9/main" objectType="CheckBox" fmlaLink="$D$38" lockText="1" noThreeD="1"/>
</file>

<file path=xl/ctrlProps/ctrlProp717.xml><?xml version="1.0" encoding="utf-8"?>
<formControlPr xmlns="http://schemas.microsoft.com/office/spreadsheetml/2009/9/main" objectType="CheckBox" fmlaLink="$D$39" lockText="1" noThreeD="1"/>
</file>

<file path=xl/ctrlProps/ctrlProp718.xml><?xml version="1.0" encoding="utf-8"?>
<formControlPr xmlns="http://schemas.microsoft.com/office/spreadsheetml/2009/9/main" objectType="CheckBox" fmlaLink="$D$40" lockText="1" noThreeD="1"/>
</file>

<file path=xl/ctrlProps/ctrlProp719.xml><?xml version="1.0" encoding="utf-8"?>
<formControlPr xmlns="http://schemas.microsoft.com/office/spreadsheetml/2009/9/main" objectType="CheckBox" fmlaLink="$D$41" lockText="1" noThreeD="1"/>
</file>

<file path=xl/ctrlProps/ctrlProp720.xml><?xml version="1.0" encoding="utf-8"?>
<formControlPr xmlns="http://schemas.microsoft.com/office/spreadsheetml/2009/9/main" objectType="CheckBox" fmlaLink="$D$42" lockText="1" noThreeD="1"/>
</file>

<file path=xl/ctrlProps/ctrlProp721.xml><?xml version="1.0" encoding="utf-8"?>
<formControlPr xmlns="http://schemas.microsoft.com/office/spreadsheetml/2009/9/main" objectType="CheckBox" fmlaLink="$D$43" lockText="1" noThreeD="1"/>
</file>

<file path=xl/ctrlProps/ctrlProp722.xml><?xml version="1.0" encoding="utf-8"?>
<formControlPr xmlns="http://schemas.microsoft.com/office/spreadsheetml/2009/9/main" objectType="CheckBox" fmlaLink="$D$44" lockText="1" noThreeD="1"/>
</file>

<file path=xl/ctrlProps/ctrlProp723.xml><?xml version="1.0" encoding="utf-8"?>
<formControlPr xmlns="http://schemas.microsoft.com/office/spreadsheetml/2009/9/main" objectType="CheckBox" fmlaLink="$D$45" lockText="1" noThreeD="1"/>
</file>

<file path=xl/ctrlProps/ctrlProp724.xml><?xml version="1.0" encoding="utf-8"?>
<formControlPr xmlns="http://schemas.microsoft.com/office/spreadsheetml/2009/9/main" objectType="CheckBox" fmlaLink="$D$46" lockText="1" noThreeD="1"/>
</file>

<file path=xl/ctrlProps/ctrlProp725.xml><?xml version="1.0" encoding="utf-8"?>
<formControlPr xmlns="http://schemas.microsoft.com/office/spreadsheetml/2009/9/main" objectType="CheckBox" fmlaLink="$D$47" lockText="1" noThreeD="1"/>
</file>

<file path=xl/ctrlProps/ctrlProp726.xml><?xml version="1.0" encoding="utf-8"?>
<formControlPr xmlns="http://schemas.microsoft.com/office/spreadsheetml/2009/9/main" objectType="CheckBox" fmlaLink="$D$48" lockText="1" noThreeD="1"/>
</file>

<file path=xl/ctrlProps/ctrlProp727.xml><?xml version="1.0" encoding="utf-8"?>
<formControlPr xmlns="http://schemas.microsoft.com/office/spreadsheetml/2009/9/main" objectType="CheckBox" fmlaLink="$D$49" lockText="1" noThreeD="1"/>
</file>

<file path=xl/ctrlProps/ctrlProp728.xml><?xml version="1.0" encoding="utf-8"?>
<formControlPr xmlns="http://schemas.microsoft.com/office/spreadsheetml/2009/9/main" objectType="CheckBox" fmlaLink="$D$50" lockText="1" noThreeD="1"/>
</file>

<file path=xl/ctrlProps/ctrlProp729.xml><?xml version="1.0" encoding="utf-8"?>
<formControlPr xmlns="http://schemas.microsoft.com/office/spreadsheetml/2009/9/main" objectType="CheckBox" fmlaLink="$D$51" lockText="1" noThreeD="1"/>
</file>

<file path=xl/ctrlProps/ctrlProp730.xml><?xml version="1.0" encoding="utf-8"?>
<formControlPr xmlns="http://schemas.microsoft.com/office/spreadsheetml/2009/9/main" objectType="CheckBox" fmlaLink="$D$52" lockText="1" noThreeD="1"/>
</file>

<file path=xl/ctrlProps/ctrlProp731.xml><?xml version="1.0" encoding="utf-8"?>
<formControlPr xmlns="http://schemas.microsoft.com/office/spreadsheetml/2009/9/main" objectType="CheckBox" fmlaLink="$D$53" lockText="1" noThreeD="1"/>
</file>

<file path=xl/ctrlProps/ctrlProp732.xml><?xml version="1.0" encoding="utf-8"?>
<formControlPr xmlns="http://schemas.microsoft.com/office/spreadsheetml/2009/9/main" objectType="CheckBox" fmlaLink="$D$54" lockText="1" noThreeD="1"/>
</file>

<file path=xl/ctrlProps/ctrlProp733.xml><?xml version="1.0" encoding="utf-8"?>
<formControlPr xmlns="http://schemas.microsoft.com/office/spreadsheetml/2009/9/main" objectType="CheckBox" fmlaLink="$D$55" lockText="1" noThreeD="1"/>
</file>

<file path=xl/ctrlProps/ctrlProp734.xml><?xml version="1.0" encoding="utf-8"?>
<formControlPr xmlns="http://schemas.microsoft.com/office/spreadsheetml/2009/9/main" objectType="CheckBox" fmlaLink="$D$56" lockText="1" noThreeD="1"/>
</file>

<file path=xl/ctrlProps/ctrlProp735.xml><?xml version="1.0" encoding="utf-8"?>
<formControlPr xmlns="http://schemas.microsoft.com/office/spreadsheetml/2009/9/main" objectType="CheckBox" fmlaLink="$D$57" lockText="1" noThreeD="1"/>
</file>

<file path=xl/ctrlProps/ctrlProp736.xml><?xml version="1.0" encoding="utf-8"?>
<formControlPr xmlns="http://schemas.microsoft.com/office/spreadsheetml/2009/9/main" objectType="CheckBox" fmlaLink="$D$58" lockText="1" noThreeD="1"/>
</file>

<file path=xl/ctrlProps/ctrlProp737.xml><?xml version="1.0" encoding="utf-8"?>
<formControlPr xmlns="http://schemas.microsoft.com/office/spreadsheetml/2009/9/main" objectType="CheckBox" fmlaLink="$D$59" lockText="1" noThreeD="1"/>
</file>

<file path=xl/ctrlProps/ctrlProp738.xml><?xml version="1.0" encoding="utf-8"?>
<formControlPr xmlns="http://schemas.microsoft.com/office/spreadsheetml/2009/9/main" objectType="CheckBox" fmlaLink="$D$60" lockText="1" noThreeD="1"/>
</file>

<file path=xl/ctrlProps/ctrlProp739.xml><?xml version="1.0" encoding="utf-8"?>
<formControlPr xmlns="http://schemas.microsoft.com/office/spreadsheetml/2009/9/main" objectType="CheckBox" fmlaLink="$D$61" lockText="1" noThreeD="1"/>
</file>

<file path=xl/ctrlProps/ctrlProp740.xml><?xml version="1.0" encoding="utf-8"?>
<formControlPr xmlns="http://schemas.microsoft.com/office/spreadsheetml/2009/9/main" objectType="CheckBox" fmlaLink="$D$62" lockText="1" noThreeD="1"/>
</file>

<file path=xl/ctrlProps/ctrlProp741.xml><?xml version="1.0" encoding="utf-8"?>
<formControlPr xmlns="http://schemas.microsoft.com/office/spreadsheetml/2009/9/main" objectType="CheckBox" fmlaLink="$D$63" lockText="1" noThreeD="1"/>
</file>

<file path=xl/ctrlProps/ctrlProp742.xml><?xml version="1.0" encoding="utf-8"?>
<formControlPr xmlns="http://schemas.microsoft.com/office/spreadsheetml/2009/9/main" objectType="CheckBox" fmlaLink="$D$64" lockText="1" noThreeD="1"/>
</file>

<file path=xl/ctrlProps/ctrlProp743.xml><?xml version="1.0" encoding="utf-8"?>
<formControlPr xmlns="http://schemas.microsoft.com/office/spreadsheetml/2009/9/main" objectType="CheckBox" fmlaLink="$D$65" lockText="1" noThreeD="1"/>
</file>

<file path=xl/ctrlProps/ctrlProp744.xml><?xml version="1.0" encoding="utf-8"?>
<formControlPr xmlns="http://schemas.microsoft.com/office/spreadsheetml/2009/9/main" objectType="CheckBox" fmlaLink="$D$66" lockText="1" noThreeD="1"/>
</file>

<file path=xl/ctrlProps/ctrlProp745.xml><?xml version="1.0" encoding="utf-8"?>
<formControlPr xmlns="http://schemas.microsoft.com/office/spreadsheetml/2009/9/main" objectType="CheckBox" fmlaLink="$D$67" lockText="1" noThreeD="1"/>
</file>

<file path=xl/ctrlProps/ctrlProp746.xml><?xml version="1.0" encoding="utf-8"?>
<formControlPr xmlns="http://schemas.microsoft.com/office/spreadsheetml/2009/9/main" objectType="CheckBox" fmlaLink="$D$68" lockText="1" noThreeD="1"/>
</file>

<file path=xl/ctrlProps/ctrlProp747.xml><?xml version="1.0" encoding="utf-8"?>
<formControlPr xmlns="http://schemas.microsoft.com/office/spreadsheetml/2009/9/main" objectType="CheckBox" fmlaLink="$D$69" lockText="1" noThreeD="1"/>
</file>

<file path=xl/ctrlProps/ctrlProp748.xml><?xml version="1.0" encoding="utf-8"?>
<formControlPr xmlns="http://schemas.microsoft.com/office/spreadsheetml/2009/9/main" objectType="CheckBox" fmlaLink="$D$70" lockText="1" noThreeD="1"/>
</file>

<file path=xl/ctrlProps/ctrlProp749.xml><?xml version="1.0" encoding="utf-8"?>
<formControlPr xmlns="http://schemas.microsoft.com/office/spreadsheetml/2009/9/main" objectType="CheckBox" fmlaLink="$D$71" lockText="1" noThreeD="1"/>
</file>

<file path=xl/ctrlProps/ctrlProp750.xml><?xml version="1.0" encoding="utf-8"?>
<formControlPr xmlns="http://schemas.microsoft.com/office/spreadsheetml/2009/9/main" objectType="CheckBox" fmlaLink="$D$72" lockText="1" noThreeD="1"/>
</file>

<file path=xl/ctrlProps/ctrlProp751.xml><?xml version="1.0" encoding="utf-8"?>
<formControlPr xmlns="http://schemas.microsoft.com/office/spreadsheetml/2009/9/main" objectType="CheckBox" fmlaLink="$D$7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28575</xdr:colOff>
          <xdr:row>0</xdr:row>
          <xdr:rowOff>19050</xdr:rowOff>
        </xdr:from>
        <xdr:to>
          <xdr:col>21</xdr:col>
          <xdr:colOff>581025</xdr:colOff>
          <xdr:row>1</xdr:row>
          <xdr:rowOff>19050</xdr:rowOff>
        </xdr:to>
        <xdr:sp macro="" textlink="">
          <xdr:nvSpPr>
            <xdr:cNvPr id="43384" name="Button 1400" hidden="1">
              <a:extLst>
                <a:ext uri="{63B3BB69-23CF-44E3-9099-C40C66FF867C}">
                  <a14:compatExt spid="_x0000_s43384"/>
                </a:ext>
                <a:ext uri="{FF2B5EF4-FFF2-40B4-BE49-F238E27FC236}">
                  <a16:creationId xmlns:a16="http://schemas.microsoft.com/office/drawing/2014/main" id="{00000000-0008-0000-0200-000078A9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ea typeface="Calibri"/>
                  <a:cs typeface="Calibri"/>
                </a:rPr>
                <a:t>Add Cars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xdr:row>
          <xdr:rowOff>95250</xdr:rowOff>
        </xdr:from>
        <xdr:to>
          <xdr:col>21</xdr:col>
          <xdr:colOff>581025</xdr:colOff>
          <xdr:row>2</xdr:row>
          <xdr:rowOff>171450</xdr:rowOff>
        </xdr:to>
        <xdr:sp macro="" textlink="">
          <xdr:nvSpPr>
            <xdr:cNvPr id="43385" name="Button 1401" hidden="1">
              <a:extLst>
                <a:ext uri="{63B3BB69-23CF-44E3-9099-C40C66FF867C}">
                  <a14:compatExt spid="_x0000_s43385"/>
                </a:ext>
                <a:ext uri="{FF2B5EF4-FFF2-40B4-BE49-F238E27FC236}">
                  <a16:creationId xmlns:a16="http://schemas.microsoft.com/office/drawing/2014/main" id="{00000000-0008-0000-0200-000079A9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ea typeface="Calibri"/>
                  <a:cs typeface="Calibri"/>
                </a:rPr>
                <a:t>Format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xdr:row>
          <xdr:rowOff>0</xdr:rowOff>
        </xdr:from>
        <xdr:to>
          <xdr:col>5</xdr:col>
          <xdr:colOff>0</xdr:colOff>
          <xdr:row>12</xdr:row>
          <xdr:rowOff>47625</xdr:rowOff>
        </xdr:to>
        <xdr:sp macro="" textlink="">
          <xdr:nvSpPr>
            <xdr:cNvPr id="98283" name="Check Box 3051" hidden="1">
              <a:extLst>
                <a:ext uri="{63B3BB69-23CF-44E3-9099-C40C66FF867C}">
                  <a14:compatExt spid="_x0000_s98283"/>
                </a:ext>
                <a:ext uri="{FF2B5EF4-FFF2-40B4-BE49-F238E27FC236}">
                  <a16:creationId xmlns:a16="http://schemas.microsoft.com/office/drawing/2014/main" id="{00000000-0008-0000-0200-0000EB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xdr:row>
          <xdr:rowOff>0</xdr:rowOff>
        </xdr:from>
        <xdr:to>
          <xdr:col>5</xdr:col>
          <xdr:colOff>0</xdr:colOff>
          <xdr:row>13</xdr:row>
          <xdr:rowOff>47625</xdr:rowOff>
        </xdr:to>
        <xdr:sp macro="" textlink="">
          <xdr:nvSpPr>
            <xdr:cNvPr id="98284" name="Check Box 3052" hidden="1">
              <a:extLst>
                <a:ext uri="{63B3BB69-23CF-44E3-9099-C40C66FF867C}">
                  <a14:compatExt spid="_x0000_s98284"/>
                </a:ext>
                <a:ext uri="{FF2B5EF4-FFF2-40B4-BE49-F238E27FC236}">
                  <a16:creationId xmlns:a16="http://schemas.microsoft.com/office/drawing/2014/main" id="{00000000-0008-0000-0200-0000EC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xdr:row>
          <xdr:rowOff>0</xdr:rowOff>
        </xdr:from>
        <xdr:to>
          <xdr:col>5</xdr:col>
          <xdr:colOff>0</xdr:colOff>
          <xdr:row>14</xdr:row>
          <xdr:rowOff>47625</xdr:rowOff>
        </xdr:to>
        <xdr:sp macro="" textlink="">
          <xdr:nvSpPr>
            <xdr:cNvPr id="98285" name="Check Box 3053" hidden="1">
              <a:extLst>
                <a:ext uri="{63B3BB69-23CF-44E3-9099-C40C66FF867C}">
                  <a14:compatExt spid="_x0000_s98285"/>
                </a:ext>
                <a:ext uri="{FF2B5EF4-FFF2-40B4-BE49-F238E27FC236}">
                  <a16:creationId xmlns:a16="http://schemas.microsoft.com/office/drawing/2014/main" id="{00000000-0008-0000-0200-0000ED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xdr:row>
          <xdr:rowOff>0</xdr:rowOff>
        </xdr:from>
        <xdr:to>
          <xdr:col>5</xdr:col>
          <xdr:colOff>0</xdr:colOff>
          <xdr:row>15</xdr:row>
          <xdr:rowOff>47625</xdr:rowOff>
        </xdr:to>
        <xdr:sp macro="" textlink="">
          <xdr:nvSpPr>
            <xdr:cNvPr id="98286" name="Check Box 3054" hidden="1">
              <a:extLst>
                <a:ext uri="{63B3BB69-23CF-44E3-9099-C40C66FF867C}">
                  <a14:compatExt spid="_x0000_s98286"/>
                </a:ext>
                <a:ext uri="{FF2B5EF4-FFF2-40B4-BE49-F238E27FC236}">
                  <a16:creationId xmlns:a16="http://schemas.microsoft.com/office/drawing/2014/main" id="{00000000-0008-0000-0200-0000EE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xdr:row>
          <xdr:rowOff>0</xdr:rowOff>
        </xdr:from>
        <xdr:to>
          <xdr:col>5</xdr:col>
          <xdr:colOff>0</xdr:colOff>
          <xdr:row>16</xdr:row>
          <xdr:rowOff>47625</xdr:rowOff>
        </xdr:to>
        <xdr:sp macro="" textlink="">
          <xdr:nvSpPr>
            <xdr:cNvPr id="98287" name="Check Box 3055" hidden="1">
              <a:extLst>
                <a:ext uri="{63B3BB69-23CF-44E3-9099-C40C66FF867C}">
                  <a14:compatExt spid="_x0000_s98287"/>
                </a:ext>
                <a:ext uri="{FF2B5EF4-FFF2-40B4-BE49-F238E27FC236}">
                  <a16:creationId xmlns:a16="http://schemas.microsoft.com/office/drawing/2014/main" id="{00000000-0008-0000-0200-0000EF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xdr:row>
          <xdr:rowOff>0</xdr:rowOff>
        </xdr:from>
        <xdr:to>
          <xdr:col>5</xdr:col>
          <xdr:colOff>0</xdr:colOff>
          <xdr:row>17</xdr:row>
          <xdr:rowOff>47625</xdr:rowOff>
        </xdr:to>
        <xdr:sp macro="" textlink="">
          <xdr:nvSpPr>
            <xdr:cNvPr id="98288" name="Check Box 3056" hidden="1">
              <a:extLst>
                <a:ext uri="{63B3BB69-23CF-44E3-9099-C40C66FF867C}">
                  <a14:compatExt spid="_x0000_s98288"/>
                </a:ext>
                <a:ext uri="{FF2B5EF4-FFF2-40B4-BE49-F238E27FC236}">
                  <a16:creationId xmlns:a16="http://schemas.microsoft.com/office/drawing/2014/main" id="{00000000-0008-0000-0200-0000F0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xdr:row>
          <xdr:rowOff>0</xdr:rowOff>
        </xdr:from>
        <xdr:to>
          <xdr:col>5</xdr:col>
          <xdr:colOff>0</xdr:colOff>
          <xdr:row>18</xdr:row>
          <xdr:rowOff>47625</xdr:rowOff>
        </xdr:to>
        <xdr:sp macro="" textlink="">
          <xdr:nvSpPr>
            <xdr:cNvPr id="98289" name="Check Box 3057" hidden="1">
              <a:extLst>
                <a:ext uri="{63B3BB69-23CF-44E3-9099-C40C66FF867C}">
                  <a14:compatExt spid="_x0000_s98289"/>
                </a:ext>
                <a:ext uri="{FF2B5EF4-FFF2-40B4-BE49-F238E27FC236}">
                  <a16:creationId xmlns:a16="http://schemas.microsoft.com/office/drawing/2014/main" id="{00000000-0008-0000-0200-0000F1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0</xdr:rowOff>
        </xdr:from>
        <xdr:to>
          <xdr:col>5</xdr:col>
          <xdr:colOff>0</xdr:colOff>
          <xdr:row>19</xdr:row>
          <xdr:rowOff>47625</xdr:rowOff>
        </xdr:to>
        <xdr:sp macro="" textlink="">
          <xdr:nvSpPr>
            <xdr:cNvPr id="98290" name="Check Box 3058" hidden="1">
              <a:extLst>
                <a:ext uri="{63B3BB69-23CF-44E3-9099-C40C66FF867C}">
                  <a14:compatExt spid="_x0000_s98290"/>
                </a:ext>
                <a:ext uri="{FF2B5EF4-FFF2-40B4-BE49-F238E27FC236}">
                  <a16:creationId xmlns:a16="http://schemas.microsoft.com/office/drawing/2014/main" id="{00000000-0008-0000-0200-0000F2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xdr:row>
          <xdr:rowOff>0</xdr:rowOff>
        </xdr:from>
        <xdr:to>
          <xdr:col>5</xdr:col>
          <xdr:colOff>0</xdr:colOff>
          <xdr:row>20</xdr:row>
          <xdr:rowOff>47625</xdr:rowOff>
        </xdr:to>
        <xdr:sp macro="" textlink="">
          <xdr:nvSpPr>
            <xdr:cNvPr id="98291" name="Check Box 3059" hidden="1">
              <a:extLst>
                <a:ext uri="{63B3BB69-23CF-44E3-9099-C40C66FF867C}">
                  <a14:compatExt spid="_x0000_s98291"/>
                </a:ext>
                <a:ext uri="{FF2B5EF4-FFF2-40B4-BE49-F238E27FC236}">
                  <a16:creationId xmlns:a16="http://schemas.microsoft.com/office/drawing/2014/main" id="{00000000-0008-0000-0200-0000F3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xdr:row>
          <xdr:rowOff>0</xdr:rowOff>
        </xdr:from>
        <xdr:to>
          <xdr:col>5</xdr:col>
          <xdr:colOff>0</xdr:colOff>
          <xdr:row>21</xdr:row>
          <xdr:rowOff>47625</xdr:rowOff>
        </xdr:to>
        <xdr:sp macro="" textlink="">
          <xdr:nvSpPr>
            <xdr:cNvPr id="98292" name="Check Box 3060" hidden="1">
              <a:extLst>
                <a:ext uri="{63B3BB69-23CF-44E3-9099-C40C66FF867C}">
                  <a14:compatExt spid="_x0000_s98292"/>
                </a:ext>
                <a:ext uri="{FF2B5EF4-FFF2-40B4-BE49-F238E27FC236}">
                  <a16:creationId xmlns:a16="http://schemas.microsoft.com/office/drawing/2014/main" id="{00000000-0008-0000-0200-0000F4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xdr:row>
          <xdr:rowOff>0</xdr:rowOff>
        </xdr:from>
        <xdr:to>
          <xdr:col>5</xdr:col>
          <xdr:colOff>0</xdr:colOff>
          <xdr:row>22</xdr:row>
          <xdr:rowOff>47625</xdr:rowOff>
        </xdr:to>
        <xdr:sp macro="" textlink="">
          <xdr:nvSpPr>
            <xdr:cNvPr id="98293" name="Check Box 3061" hidden="1">
              <a:extLst>
                <a:ext uri="{63B3BB69-23CF-44E3-9099-C40C66FF867C}">
                  <a14:compatExt spid="_x0000_s98293"/>
                </a:ext>
                <a:ext uri="{FF2B5EF4-FFF2-40B4-BE49-F238E27FC236}">
                  <a16:creationId xmlns:a16="http://schemas.microsoft.com/office/drawing/2014/main" id="{00000000-0008-0000-0200-0000F5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xdr:row>
          <xdr:rowOff>0</xdr:rowOff>
        </xdr:from>
        <xdr:to>
          <xdr:col>5</xdr:col>
          <xdr:colOff>0</xdr:colOff>
          <xdr:row>23</xdr:row>
          <xdr:rowOff>47625</xdr:rowOff>
        </xdr:to>
        <xdr:sp macro="" textlink="">
          <xdr:nvSpPr>
            <xdr:cNvPr id="98294" name="Check Box 3062" hidden="1">
              <a:extLst>
                <a:ext uri="{63B3BB69-23CF-44E3-9099-C40C66FF867C}">
                  <a14:compatExt spid="_x0000_s98294"/>
                </a:ext>
                <a:ext uri="{FF2B5EF4-FFF2-40B4-BE49-F238E27FC236}">
                  <a16:creationId xmlns:a16="http://schemas.microsoft.com/office/drawing/2014/main" id="{00000000-0008-0000-0200-0000F6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xdr:row>
          <xdr:rowOff>0</xdr:rowOff>
        </xdr:from>
        <xdr:to>
          <xdr:col>5</xdr:col>
          <xdr:colOff>0</xdr:colOff>
          <xdr:row>24</xdr:row>
          <xdr:rowOff>47625</xdr:rowOff>
        </xdr:to>
        <xdr:sp macro="" textlink="">
          <xdr:nvSpPr>
            <xdr:cNvPr id="98295" name="Check Box 3063" hidden="1">
              <a:extLst>
                <a:ext uri="{63B3BB69-23CF-44E3-9099-C40C66FF867C}">
                  <a14:compatExt spid="_x0000_s98295"/>
                </a:ext>
                <a:ext uri="{FF2B5EF4-FFF2-40B4-BE49-F238E27FC236}">
                  <a16:creationId xmlns:a16="http://schemas.microsoft.com/office/drawing/2014/main" id="{00000000-0008-0000-0200-0000F7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xdr:row>
          <xdr:rowOff>0</xdr:rowOff>
        </xdr:from>
        <xdr:to>
          <xdr:col>5</xdr:col>
          <xdr:colOff>0</xdr:colOff>
          <xdr:row>25</xdr:row>
          <xdr:rowOff>47625</xdr:rowOff>
        </xdr:to>
        <xdr:sp macro="" textlink="">
          <xdr:nvSpPr>
            <xdr:cNvPr id="98296" name="Check Box 3064" hidden="1">
              <a:extLst>
                <a:ext uri="{63B3BB69-23CF-44E3-9099-C40C66FF867C}">
                  <a14:compatExt spid="_x0000_s98296"/>
                </a:ext>
                <a:ext uri="{FF2B5EF4-FFF2-40B4-BE49-F238E27FC236}">
                  <a16:creationId xmlns:a16="http://schemas.microsoft.com/office/drawing/2014/main" id="{00000000-0008-0000-0200-0000F8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xdr:row>
          <xdr:rowOff>0</xdr:rowOff>
        </xdr:from>
        <xdr:to>
          <xdr:col>5</xdr:col>
          <xdr:colOff>0</xdr:colOff>
          <xdr:row>26</xdr:row>
          <xdr:rowOff>47625</xdr:rowOff>
        </xdr:to>
        <xdr:sp macro="" textlink="">
          <xdr:nvSpPr>
            <xdr:cNvPr id="98297" name="Check Box 3065" hidden="1">
              <a:extLst>
                <a:ext uri="{63B3BB69-23CF-44E3-9099-C40C66FF867C}">
                  <a14:compatExt spid="_x0000_s98297"/>
                </a:ext>
                <a:ext uri="{FF2B5EF4-FFF2-40B4-BE49-F238E27FC236}">
                  <a16:creationId xmlns:a16="http://schemas.microsoft.com/office/drawing/2014/main" id="{00000000-0008-0000-0200-0000F9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xdr:row>
          <xdr:rowOff>0</xdr:rowOff>
        </xdr:from>
        <xdr:to>
          <xdr:col>5</xdr:col>
          <xdr:colOff>0</xdr:colOff>
          <xdr:row>27</xdr:row>
          <xdr:rowOff>47625</xdr:rowOff>
        </xdr:to>
        <xdr:sp macro="" textlink="">
          <xdr:nvSpPr>
            <xdr:cNvPr id="98298" name="Check Box 3066" hidden="1">
              <a:extLst>
                <a:ext uri="{63B3BB69-23CF-44E3-9099-C40C66FF867C}">
                  <a14:compatExt spid="_x0000_s98298"/>
                </a:ext>
                <a:ext uri="{FF2B5EF4-FFF2-40B4-BE49-F238E27FC236}">
                  <a16:creationId xmlns:a16="http://schemas.microsoft.com/office/drawing/2014/main" id="{00000000-0008-0000-0200-0000FA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xdr:row>
          <xdr:rowOff>0</xdr:rowOff>
        </xdr:from>
        <xdr:to>
          <xdr:col>5</xdr:col>
          <xdr:colOff>0</xdr:colOff>
          <xdr:row>28</xdr:row>
          <xdr:rowOff>47625</xdr:rowOff>
        </xdr:to>
        <xdr:sp macro="" textlink="">
          <xdr:nvSpPr>
            <xdr:cNvPr id="98299" name="Check Box 3067" hidden="1">
              <a:extLst>
                <a:ext uri="{63B3BB69-23CF-44E3-9099-C40C66FF867C}">
                  <a14:compatExt spid="_x0000_s98299"/>
                </a:ext>
                <a:ext uri="{FF2B5EF4-FFF2-40B4-BE49-F238E27FC236}">
                  <a16:creationId xmlns:a16="http://schemas.microsoft.com/office/drawing/2014/main" id="{00000000-0008-0000-0200-0000FB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xdr:row>
          <xdr:rowOff>0</xdr:rowOff>
        </xdr:from>
        <xdr:to>
          <xdr:col>5</xdr:col>
          <xdr:colOff>0</xdr:colOff>
          <xdr:row>29</xdr:row>
          <xdr:rowOff>47625</xdr:rowOff>
        </xdr:to>
        <xdr:sp macro="" textlink="">
          <xdr:nvSpPr>
            <xdr:cNvPr id="98300" name="Check Box 3068" hidden="1">
              <a:extLst>
                <a:ext uri="{63B3BB69-23CF-44E3-9099-C40C66FF867C}">
                  <a14:compatExt spid="_x0000_s98300"/>
                </a:ext>
                <a:ext uri="{FF2B5EF4-FFF2-40B4-BE49-F238E27FC236}">
                  <a16:creationId xmlns:a16="http://schemas.microsoft.com/office/drawing/2014/main" id="{00000000-0008-0000-0200-0000FC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xdr:row>
          <xdr:rowOff>0</xdr:rowOff>
        </xdr:from>
        <xdr:to>
          <xdr:col>5</xdr:col>
          <xdr:colOff>0</xdr:colOff>
          <xdr:row>30</xdr:row>
          <xdr:rowOff>47625</xdr:rowOff>
        </xdr:to>
        <xdr:sp macro="" textlink="">
          <xdr:nvSpPr>
            <xdr:cNvPr id="98301" name="Check Box 3069" hidden="1">
              <a:extLst>
                <a:ext uri="{63B3BB69-23CF-44E3-9099-C40C66FF867C}">
                  <a14:compatExt spid="_x0000_s98301"/>
                </a:ext>
                <a:ext uri="{FF2B5EF4-FFF2-40B4-BE49-F238E27FC236}">
                  <a16:creationId xmlns:a16="http://schemas.microsoft.com/office/drawing/2014/main" id="{00000000-0008-0000-0200-0000FD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xdr:row>
          <xdr:rowOff>0</xdr:rowOff>
        </xdr:from>
        <xdr:to>
          <xdr:col>5</xdr:col>
          <xdr:colOff>0</xdr:colOff>
          <xdr:row>31</xdr:row>
          <xdr:rowOff>47625</xdr:rowOff>
        </xdr:to>
        <xdr:sp macro="" textlink="">
          <xdr:nvSpPr>
            <xdr:cNvPr id="98302" name="Check Box 3070" hidden="1">
              <a:extLst>
                <a:ext uri="{63B3BB69-23CF-44E3-9099-C40C66FF867C}">
                  <a14:compatExt spid="_x0000_s98302"/>
                </a:ext>
                <a:ext uri="{FF2B5EF4-FFF2-40B4-BE49-F238E27FC236}">
                  <a16:creationId xmlns:a16="http://schemas.microsoft.com/office/drawing/2014/main" id="{00000000-0008-0000-0200-0000FE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xdr:row>
          <xdr:rowOff>0</xdr:rowOff>
        </xdr:from>
        <xdr:to>
          <xdr:col>5</xdr:col>
          <xdr:colOff>0</xdr:colOff>
          <xdr:row>32</xdr:row>
          <xdr:rowOff>47625</xdr:rowOff>
        </xdr:to>
        <xdr:sp macro="" textlink="">
          <xdr:nvSpPr>
            <xdr:cNvPr id="98303" name="Check Box 3071" hidden="1">
              <a:extLst>
                <a:ext uri="{63B3BB69-23CF-44E3-9099-C40C66FF867C}">
                  <a14:compatExt spid="_x0000_s98303"/>
                </a:ext>
                <a:ext uri="{FF2B5EF4-FFF2-40B4-BE49-F238E27FC236}">
                  <a16:creationId xmlns:a16="http://schemas.microsoft.com/office/drawing/2014/main" id="{00000000-0008-0000-0200-0000FF7F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xdr:row>
          <xdr:rowOff>0</xdr:rowOff>
        </xdr:from>
        <xdr:to>
          <xdr:col>5</xdr:col>
          <xdr:colOff>0</xdr:colOff>
          <xdr:row>33</xdr:row>
          <xdr:rowOff>47625</xdr:rowOff>
        </xdr:to>
        <xdr:sp macro="" textlink="">
          <xdr:nvSpPr>
            <xdr:cNvPr id="108544" name="Check Box 3072" hidden="1">
              <a:extLst>
                <a:ext uri="{63B3BB69-23CF-44E3-9099-C40C66FF867C}">
                  <a14:compatExt spid="_x0000_s108544"/>
                </a:ext>
                <a:ext uri="{FF2B5EF4-FFF2-40B4-BE49-F238E27FC236}">
                  <a16:creationId xmlns:a16="http://schemas.microsoft.com/office/drawing/2014/main" id="{00000000-0008-0000-0200-00000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xdr:row>
          <xdr:rowOff>0</xdr:rowOff>
        </xdr:from>
        <xdr:to>
          <xdr:col>5</xdr:col>
          <xdr:colOff>0</xdr:colOff>
          <xdr:row>34</xdr:row>
          <xdr:rowOff>47625</xdr:rowOff>
        </xdr:to>
        <xdr:sp macro="" textlink="">
          <xdr:nvSpPr>
            <xdr:cNvPr id="108545" name="Check Box 3073" hidden="1">
              <a:extLst>
                <a:ext uri="{63B3BB69-23CF-44E3-9099-C40C66FF867C}">
                  <a14:compatExt spid="_x0000_s108545"/>
                </a:ext>
                <a:ext uri="{FF2B5EF4-FFF2-40B4-BE49-F238E27FC236}">
                  <a16:creationId xmlns:a16="http://schemas.microsoft.com/office/drawing/2014/main" id="{00000000-0008-0000-0200-00000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xdr:row>
          <xdr:rowOff>0</xdr:rowOff>
        </xdr:from>
        <xdr:to>
          <xdr:col>5</xdr:col>
          <xdr:colOff>0</xdr:colOff>
          <xdr:row>35</xdr:row>
          <xdr:rowOff>47625</xdr:rowOff>
        </xdr:to>
        <xdr:sp macro="" textlink="">
          <xdr:nvSpPr>
            <xdr:cNvPr id="108546" name="Check Box 3074" hidden="1">
              <a:extLst>
                <a:ext uri="{63B3BB69-23CF-44E3-9099-C40C66FF867C}">
                  <a14:compatExt spid="_x0000_s108546"/>
                </a:ext>
                <a:ext uri="{FF2B5EF4-FFF2-40B4-BE49-F238E27FC236}">
                  <a16:creationId xmlns:a16="http://schemas.microsoft.com/office/drawing/2014/main" id="{00000000-0008-0000-0200-00000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xdr:row>
          <xdr:rowOff>0</xdr:rowOff>
        </xdr:from>
        <xdr:to>
          <xdr:col>5</xdr:col>
          <xdr:colOff>0</xdr:colOff>
          <xdr:row>36</xdr:row>
          <xdr:rowOff>47625</xdr:rowOff>
        </xdr:to>
        <xdr:sp macro="" textlink="">
          <xdr:nvSpPr>
            <xdr:cNvPr id="108547" name="Check Box 3075" hidden="1">
              <a:extLst>
                <a:ext uri="{63B3BB69-23CF-44E3-9099-C40C66FF867C}">
                  <a14:compatExt spid="_x0000_s108547"/>
                </a:ext>
                <a:ext uri="{FF2B5EF4-FFF2-40B4-BE49-F238E27FC236}">
                  <a16:creationId xmlns:a16="http://schemas.microsoft.com/office/drawing/2014/main" id="{00000000-0008-0000-0200-00000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xdr:row>
          <xdr:rowOff>0</xdr:rowOff>
        </xdr:from>
        <xdr:to>
          <xdr:col>5</xdr:col>
          <xdr:colOff>0</xdr:colOff>
          <xdr:row>37</xdr:row>
          <xdr:rowOff>47625</xdr:rowOff>
        </xdr:to>
        <xdr:sp macro="" textlink="">
          <xdr:nvSpPr>
            <xdr:cNvPr id="108548" name="Check Box 3076" hidden="1">
              <a:extLst>
                <a:ext uri="{63B3BB69-23CF-44E3-9099-C40C66FF867C}">
                  <a14:compatExt spid="_x0000_s108548"/>
                </a:ext>
                <a:ext uri="{FF2B5EF4-FFF2-40B4-BE49-F238E27FC236}">
                  <a16:creationId xmlns:a16="http://schemas.microsoft.com/office/drawing/2014/main" id="{00000000-0008-0000-0200-00000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xdr:row>
          <xdr:rowOff>0</xdr:rowOff>
        </xdr:from>
        <xdr:to>
          <xdr:col>5</xdr:col>
          <xdr:colOff>0</xdr:colOff>
          <xdr:row>38</xdr:row>
          <xdr:rowOff>47625</xdr:rowOff>
        </xdr:to>
        <xdr:sp macro="" textlink="">
          <xdr:nvSpPr>
            <xdr:cNvPr id="108549" name="Check Box 3077" hidden="1">
              <a:extLst>
                <a:ext uri="{63B3BB69-23CF-44E3-9099-C40C66FF867C}">
                  <a14:compatExt spid="_x0000_s108549"/>
                </a:ext>
                <a:ext uri="{FF2B5EF4-FFF2-40B4-BE49-F238E27FC236}">
                  <a16:creationId xmlns:a16="http://schemas.microsoft.com/office/drawing/2014/main" id="{00000000-0008-0000-0200-00000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xdr:row>
          <xdr:rowOff>0</xdr:rowOff>
        </xdr:from>
        <xdr:to>
          <xdr:col>5</xdr:col>
          <xdr:colOff>0</xdr:colOff>
          <xdr:row>39</xdr:row>
          <xdr:rowOff>47625</xdr:rowOff>
        </xdr:to>
        <xdr:sp macro="" textlink="">
          <xdr:nvSpPr>
            <xdr:cNvPr id="108550" name="Check Box 3078" hidden="1">
              <a:extLst>
                <a:ext uri="{63B3BB69-23CF-44E3-9099-C40C66FF867C}">
                  <a14:compatExt spid="_x0000_s108550"/>
                </a:ext>
                <a:ext uri="{FF2B5EF4-FFF2-40B4-BE49-F238E27FC236}">
                  <a16:creationId xmlns:a16="http://schemas.microsoft.com/office/drawing/2014/main" id="{00000000-0008-0000-0200-00000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xdr:row>
          <xdr:rowOff>0</xdr:rowOff>
        </xdr:from>
        <xdr:to>
          <xdr:col>5</xdr:col>
          <xdr:colOff>0</xdr:colOff>
          <xdr:row>40</xdr:row>
          <xdr:rowOff>47625</xdr:rowOff>
        </xdr:to>
        <xdr:sp macro="" textlink="">
          <xdr:nvSpPr>
            <xdr:cNvPr id="108551" name="Check Box 3079" hidden="1">
              <a:extLst>
                <a:ext uri="{63B3BB69-23CF-44E3-9099-C40C66FF867C}">
                  <a14:compatExt spid="_x0000_s108551"/>
                </a:ext>
                <a:ext uri="{FF2B5EF4-FFF2-40B4-BE49-F238E27FC236}">
                  <a16:creationId xmlns:a16="http://schemas.microsoft.com/office/drawing/2014/main" id="{00000000-0008-0000-0200-00000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xdr:row>
          <xdr:rowOff>0</xdr:rowOff>
        </xdr:from>
        <xdr:to>
          <xdr:col>5</xdr:col>
          <xdr:colOff>0</xdr:colOff>
          <xdr:row>41</xdr:row>
          <xdr:rowOff>47625</xdr:rowOff>
        </xdr:to>
        <xdr:sp macro="" textlink="">
          <xdr:nvSpPr>
            <xdr:cNvPr id="108552" name="Check Box 3080" hidden="1">
              <a:extLst>
                <a:ext uri="{63B3BB69-23CF-44E3-9099-C40C66FF867C}">
                  <a14:compatExt spid="_x0000_s108552"/>
                </a:ext>
                <a:ext uri="{FF2B5EF4-FFF2-40B4-BE49-F238E27FC236}">
                  <a16:creationId xmlns:a16="http://schemas.microsoft.com/office/drawing/2014/main" id="{00000000-0008-0000-0200-00000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xdr:row>
          <xdr:rowOff>0</xdr:rowOff>
        </xdr:from>
        <xdr:to>
          <xdr:col>5</xdr:col>
          <xdr:colOff>0</xdr:colOff>
          <xdr:row>42</xdr:row>
          <xdr:rowOff>47625</xdr:rowOff>
        </xdr:to>
        <xdr:sp macro="" textlink="">
          <xdr:nvSpPr>
            <xdr:cNvPr id="108553" name="Check Box 3081" hidden="1">
              <a:extLst>
                <a:ext uri="{63B3BB69-23CF-44E3-9099-C40C66FF867C}">
                  <a14:compatExt spid="_x0000_s108553"/>
                </a:ext>
                <a:ext uri="{FF2B5EF4-FFF2-40B4-BE49-F238E27FC236}">
                  <a16:creationId xmlns:a16="http://schemas.microsoft.com/office/drawing/2014/main" id="{00000000-0008-0000-0200-00000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xdr:row>
          <xdr:rowOff>0</xdr:rowOff>
        </xdr:from>
        <xdr:to>
          <xdr:col>5</xdr:col>
          <xdr:colOff>0</xdr:colOff>
          <xdr:row>43</xdr:row>
          <xdr:rowOff>47625</xdr:rowOff>
        </xdr:to>
        <xdr:sp macro="" textlink="">
          <xdr:nvSpPr>
            <xdr:cNvPr id="108554" name="Check Box 3082" hidden="1">
              <a:extLst>
                <a:ext uri="{63B3BB69-23CF-44E3-9099-C40C66FF867C}">
                  <a14:compatExt spid="_x0000_s108554"/>
                </a:ext>
                <a:ext uri="{FF2B5EF4-FFF2-40B4-BE49-F238E27FC236}">
                  <a16:creationId xmlns:a16="http://schemas.microsoft.com/office/drawing/2014/main" id="{00000000-0008-0000-0200-00000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xdr:row>
          <xdr:rowOff>0</xdr:rowOff>
        </xdr:from>
        <xdr:to>
          <xdr:col>5</xdr:col>
          <xdr:colOff>0</xdr:colOff>
          <xdr:row>44</xdr:row>
          <xdr:rowOff>47625</xdr:rowOff>
        </xdr:to>
        <xdr:sp macro="" textlink="">
          <xdr:nvSpPr>
            <xdr:cNvPr id="108555" name="Check Box 3083" hidden="1">
              <a:extLst>
                <a:ext uri="{63B3BB69-23CF-44E3-9099-C40C66FF867C}">
                  <a14:compatExt spid="_x0000_s108555"/>
                </a:ext>
                <a:ext uri="{FF2B5EF4-FFF2-40B4-BE49-F238E27FC236}">
                  <a16:creationId xmlns:a16="http://schemas.microsoft.com/office/drawing/2014/main" id="{00000000-0008-0000-0200-00000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xdr:row>
          <xdr:rowOff>0</xdr:rowOff>
        </xdr:from>
        <xdr:to>
          <xdr:col>5</xdr:col>
          <xdr:colOff>0</xdr:colOff>
          <xdr:row>45</xdr:row>
          <xdr:rowOff>47625</xdr:rowOff>
        </xdr:to>
        <xdr:sp macro="" textlink="">
          <xdr:nvSpPr>
            <xdr:cNvPr id="108556" name="Check Box 3084" hidden="1">
              <a:extLst>
                <a:ext uri="{63B3BB69-23CF-44E3-9099-C40C66FF867C}">
                  <a14:compatExt spid="_x0000_s108556"/>
                </a:ext>
                <a:ext uri="{FF2B5EF4-FFF2-40B4-BE49-F238E27FC236}">
                  <a16:creationId xmlns:a16="http://schemas.microsoft.com/office/drawing/2014/main" id="{00000000-0008-0000-0200-00000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xdr:row>
          <xdr:rowOff>0</xdr:rowOff>
        </xdr:from>
        <xdr:to>
          <xdr:col>5</xdr:col>
          <xdr:colOff>0</xdr:colOff>
          <xdr:row>46</xdr:row>
          <xdr:rowOff>47625</xdr:rowOff>
        </xdr:to>
        <xdr:sp macro="" textlink="">
          <xdr:nvSpPr>
            <xdr:cNvPr id="108557" name="Check Box 3085" hidden="1">
              <a:extLst>
                <a:ext uri="{63B3BB69-23CF-44E3-9099-C40C66FF867C}">
                  <a14:compatExt spid="_x0000_s108557"/>
                </a:ext>
                <a:ext uri="{FF2B5EF4-FFF2-40B4-BE49-F238E27FC236}">
                  <a16:creationId xmlns:a16="http://schemas.microsoft.com/office/drawing/2014/main" id="{00000000-0008-0000-0200-00000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xdr:row>
          <xdr:rowOff>0</xdr:rowOff>
        </xdr:from>
        <xdr:to>
          <xdr:col>5</xdr:col>
          <xdr:colOff>0</xdr:colOff>
          <xdr:row>47</xdr:row>
          <xdr:rowOff>47625</xdr:rowOff>
        </xdr:to>
        <xdr:sp macro="" textlink="">
          <xdr:nvSpPr>
            <xdr:cNvPr id="108558" name="Check Box 3086" hidden="1">
              <a:extLst>
                <a:ext uri="{63B3BB69-23CF-44E3-9099-C40C66FF867C}">
                  <a14:compatExt spid="_x0000_s108558"/>
                </a:ext>
                <a:ext uri="{FF2B5EF4-FFF2-40B4-BE49-F238E27FC236}">
                  <a16:creationId xmlns:a16="http://schemas.microsoft.com/office/drawing/2014/main" id="{00000000-0008-0000-0200-00000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xdr:row>
          <xdr:rowOff>0</xdr:rowOff>
        </xdr:from>
        <xdr:to>
          <xdr:col>5</xdr:col>
          <xdr:colOff>0</xdr:colOff>
          <xdr:row>48</xdr:row>
          <xdr:rowOff>47625</xdr:rowOff>
        </xdr:to>
        <xdr:sp macro="" textlink="">
          <xdr:nvSpPr>
            <xdr:cNvPr id="108559" name="Check Box 3087" hidden="1">
              <a:extLst>
                <a:ext uri="{63B3BB69-23CF-44E3-9099-C40C66FF867C}">
                  <a14:compatExt spid="_x0000_s108559"/>
                </a:ext>
                <a:ext uri="{FF2B5EF4-FFF2-40B4-BE49-F238E27FC236}">
                  <a16:creationId xmlns:a16="http://schemas.microsoft.com/office/drawing/2014/main" id="{00000000-0008-0000-0200-00000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xdr:row>
          <xdr:rowOff>0</xdr:rowOff>
        </xdr:from>
        <xdr:to>
          <xdr:col>5</xdr:col>
          <xdr:colOff>0</xdr:colOff>
          <xdr:row>49</xdr:row>
          <xdr:rowOff>47625</xdr:rowOff>
        </xdr:to>
        <xdr:sp macro="" textlink="">
          <xdr:nvSpPr>
            <xdr:cNvPr id="108560" name="Check Box 3088" hidden="1">
              <a:extLst>
                <a:ext uri="{63B3BB69-23CF-44E3-9099-C40C66FF867C}">
                  <a14:compatExt spid="_x0000_s108560"/>
                </a:ext>
                <a:ext uri="{FF2B5EF4-FFF2-40B4-BE49-F238E27FC236}">
                  <a16:creationId xmlns:a16="http://schemas.microsoft.com/office/drawing/2014/main" id="{00000000-0008-0000-0200-00001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49</xdr:row>
          <xdr:rowOff>0</xdr:rowOff>
        </xdr:from>
        <xdr:to>
          <xdr:col>5</xdr:col>
          <xdr:colOff>0</xdr:colOff>
          <xdr:row>50</xdr:row>
          <xdr:rowOff>47625</xdr:rowOff>
        </xdr:to>
        <xdr:sp macro="" textlink="">
          <xdr:nvSpPr>
            <xdr:cNvPr id="108561" name="Check Box 3089" hidden="1">
              <a:extLst>
                <a:ext uri="{63B3BB69-23CF-44E3-9099-C40C66FF867C}">
                  <a14:compatExt spid="_x0000_s108561"/>
                </a:ext>
                <a:ext uri="{FF2B5EF4-FFF2-40B4-BE49-F238E27FC236}">
                  <a16:creationId xmlns:a16="http://schemas.microsoft.com/office/drawing/2014/main" id="{00000000-0008-0000-0200-00001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50</xdr:row>
          <xdr:rowOff>0</xdr:rowOff>
        </xdr:from>
        <xdr:to>
          <xdr:col>5</xdr:col>
          <xdr:colOff>0</xdr:colOff>
          <xdr:row>51</xdr:row>
          <xdr:rowOff>47625</xdr:rowOff>
        </xdr:to>
        <xdr:sp macro="" textlink="">
          <xdr:nvSpPr>
            <xdr:cNvPr id="108562" name="Check Box 3090" hidden="1">
              <a:extLst>
                <a:ext uri="{63B3BB69-23CF-44E3-9099-C40C66FF867C}">
                  <a14:compatExt spid="_x0000_s108562"/>
                </a:ext>
                <a:ext uri="{FF2B5EF4-FFF2-40B4-BE49-F238E27FC236}">
                  <a16:creationId xmlns:a16="http://schemas.microsoft.com/office/drawing/2014/main" id="{00000000-0008-0000-0200-00001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51</xdr:row>
          <xdr:rowOff>0</xdr:rowOff>
        </xdr:from>
        <xdr:to>
          <xdr:col>5</xdr:col>
          <xdr:colOff>0</xdr:colOff>
          <xdr:row>52</xdr:row>
          <xdr:rowOff>47625</xdr:rowOff>
        </xdr:to>
        <xdr:sp macro="" textlink="">
          <xdr:nvSpPr>
            <xdr:cNvPr id="108563" name="Check Box 3091" hidden="1">
              <a:extLst>
                <a:ext uri="{63B3BB69-23CF-44E3-9099-C40C66FF867C}">
                  <a14:compatExt spid="_x0000_s108563"/>
                </a:ext>
                <a:ext uri="{FF2B5EF4-FFF2-40B4-BE49-F238E27FC236}">
                  <a16:creationId xmlns:a16="http://schemas.microsoft.com/office/drawing/2014/main" id="{00000000-0008-0000-0200-00001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52</xdr:row>
          <xdr:rowOff>0</xdr:rowOff>
        </xdr:from>
        <xdr:to>
          <xdr:col>5</xdr:col>
          <xdr:colOff>0</xdr:colOff>
          <xdr:row>53</xdr:row>
          <xdr:rowOff>47625</xdr:rowOff>
        </xdr:to>
        <xdr:sp macro="" textlink="">
          <xdr:nvSpPr>
            <xdr:cNvPr id="108564" name="Check Box 3092" hidden="1">
              <a:extLst>
                <a:ext uri="{63B3BB69-23CF-44E3-9099-C40C66FF867C}">
                  <a14:compatExt spid="_x0000_s108564"/>
                </a:ext>
                <a:ext uri="{FF2B5EF4-FFF2-40B4-BE49-F238E27FC236}">
                  <a16:creationId xmlns:a16="http://schemas.microsoft.com/office/drawing/2014/main" id="{00000000-0008-0000-0200-00001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53</xdr:row>
          <xdr:rowOff>0</xdr:rowOff>
        </xdr:from>
        <xdr:to>
          <xdr:col>5</xdr:col>
          <xdr:colOff>0</xdr:colOff>
          <xdr:row>54</xdr:row>
          <xdr:rowOff>47625</xdr:rowOff>
        </xdr:to>
        <xdr:sp macro="" textlink="">
          <xdr:nvSpPr>
            <xdr:cNvPr id="108565" name="Check Box 3093" hidden="1">
              <a:extLst>
                <a:ext uri="{63B3BB69-23CF-44E3-9099-C40C66FF867C}">
                  <a14:compatExt spid="_x0000_s108565"/>
                </a:ext>
                <a:ext uri="{FF2B5EF4-FFF2-40B4-BE49-F238E27FC236}">
                  <a16:creationId xmlns:a16="http://schemas.microsoft.com/office/drawing/2014/main" id="{00000000-0008-0000-0200-00001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xdr:row>
          <xdr:rowOff>0</xdr:rowOff>
        </xdr:from>
        <xdr:to>
          <xdr:col>5</xdr:col>
          <xdr:colOff>0</xdr:colOff>
          <xdr:row>55</xdr:row>
          <xdr:rowOff>47625</xdr:rowOff>
        </xdr:to>
        <xdr:sp macro="" textlink="">
          <xdr:nvSpPr>
            <xdr:cNvPr id="108566" name="Check Box 3094" hidden="1">
              <a:extLst>
                <a:ext uri="{63B3BB69-23CF-44E3-9099-C40C66FF867C}">
                  <a14:compatExt spid="_x0000_s108566"/>
                </a:ext>
                <a:ext uri="{FF2B5EF4-FFF2-40B4-BE49-F238E27FC236}">
                  <a16:creationId xmlns:a16="http://schemas.microsoft.com/office/drawing/2014/main" id="{00000000-0008-0000-0200-00001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xdr:row>
          <xdr:rowOff>0</xdr:rowOff>
        </xdr:from>
        <xdr:to>
          <xdr:col>5</xdr:col>
          <xdr:colOff>0</xdr:colOff>
          <xdr:row>56</xdr:row>
          <xdr:rowOff>47625</xdr:rowOff>
        </xdr:to>
        <xdr:sp macro="" textlink="">
          <xdr:nvSpPr>
            <xdr:cNvPr id="108567" name="Check Box 3095" hidden="1">
              <a:extLst>
                <a:ext uri="{63B3BB69-23CF-44E3-9099-C40C66FF867C}">
                  <a14:compatExt spid="_x0000_s108567"/>
                </a:ext>
                <a:ext uri="{FF2B5EF4-FFF2-40B4-BE49-F238E27FC236}">
                  <a16:creationId xmlns:a16="http://schemas.microsoft.com/office/drawing/2014/main" id="{00000000-0008-0000-0200-00001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56</xdr:row>
          <xdr:rowOff>0</xdr:rowOff>
        </xdr:from>
        <xdr:to>
          <xdr:col>5</xdr:col>
          <xdr:colOff>0</xdr:colOff>
          <xdr:row>57</xdr:row>
          <xdr:rowOff>47625</xdr:rowOff>
        </xdr:to>
        <xdr:sp macro="" textlink="">
          <xdr:nvSpPr>
            <xdr:cNvPr id="108568" name="Check Box 3096" hidden="1">
              <a:extLst>
                <a:ext uri="{63B3BB69-23CF-44E3-9099-C40C66FF867C}">
                  <a14:compatExt spid="_x0000_s108568"/>
                </a:ext>
                <a:ext uri="{FF2B5EF4-FFF2-40B4-BE49-F238E27FC236}">
                  <a16:creationId xmlns:a16="http://schemas.microsoft.com/office/drawing/2014/main" id="{00000000-0008-0000-0200-00001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57</xdr:row>
          <xdr:rowOff>0</xdr:rowOff>
        </xdr:from>
        <xdr:to>
          <xdr:col>5</xdr:col>
          <xdr:colOff>0</xdr:colOff>
          <xdr:row>58</xdr:row>
          <xdr:rowOff>47625</xdr:rowOff>
        </xdr:to>
        <xdr:sp macro="" textlink="">
          <xdr:nvSpPr>
            <xdr:cNvPr id="108569" name="Check Box 3097" hidden="1">
              <a:extLst>
                <a:ext uri="{63B3BB69-23CF-44E3-9099-C40C66FF867C}">
                  <a14:compatExt spid="_x0000_s108569"/>
                </a:ext>
                <a:ext uri="{FF2B5EF4-FFF2-40B4-BE49-F238E27FC236}">
                  <a16:creationId xmlns:a16="http://schemas.microsoft.com/office/drawing/2014/main" id="{00000000-0008-0000-0200-00001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58</xdr:row>
          <xdr:rowOff>0</xdr:rowOff>
        </xdr:from>
        <xdr:to>
          <xdr:col>5</xdr:col>
          <xdr:colOff>0</xdr:colOff>
          <xdr:row>59</xdr:row>
          <xdr:rowOff>47625</xdr:rowOff>
        </xdr:to>
        <xdr:sp macro="" textlink="">
          <xdr:nvSpPr>
            <xdr:cNvPr id="108570" name="Check Box 3098" hidden="1">
              <a:extLst>
                <a:ext uri="{63B3BB69-23CF-44E3-9099-C40C66FF867C}">
                  <a14:compatExt spid="_x0000_s108570"/>
                </a:ext>
                <a:ext uri="{FF2B5EF4-FFF2-40B4-BE49-F238E27FC236}">
                  <a16:creationId xmlns:a16="http://schemas.microsoft.com/office/drawing/2014/main" id="{00000000-0008-0000-0200-00001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59</xdr:row>
          <xdr:rowOff>0</xdr:rowOff>
        </xdr:from>
        <xdr:to>
          <xdr:col>5</xdr:col>
          <xdr:colOff>0</xdr:colOff>
          <xdr:row>60</xdr:row>
          <xdr:rowOff>47625</xdr:rowOff>
        </xdr:to>
        <xdr:sp macro="" textlink="">
          <xdr:nvSpPr>
            <xdr:cNvPr id="108571" name="Check Box 3099" hidden="1">
              <a:extLst>
                <a:ext uri="{63B3BB69-23CF-44E3-9099-C40C66FF867C}">
                  <a14:compatExt spid="_x0000_s108571"/>
                </a:ext>
                <a:ext uri="{FF2B5EF4-FFF2-40B4-BE49-F238E27FC236}">
                  <a16:creationId xmlns:a16="http://schemas.microsoft.com/office/drawing/2014/main" id="{00000000-0008-0000-0200-00001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60</xdr:row>
          <xdr:rowOff>0</xdr:rowOff>
        </xdr:from>
        <xdr:to>
          <xdr:col>5</xdr:col>
          <xdr:colOff>0</xdr:colOff>
          <xdr:row>61</xdr:row>
          <xdr:rowOff>47625</xdr:rowOff>
        </xdr:to>
        <xdr:sp macro="" textlink="">
          <xdr:nvSpPr>
            <xdr:cNvPr id="108572" name="Check Box 3100" hidden="1">
              <a:extLst>
                <a:ext uri="{63B3BB69-23CF-44E3-9099-C40C66FF867C}">
                  <a14:compatExt spid="_x0000_s108572"/>
                </a:ext>
                <a:ext uri="{FF2B5EF4-FFF2-40B4-BE49-F238E27FC236}">
                  <a16:creationId xmlns:a16="http://schemas.microsoft.com/office/drawing/2014/main" id="{00000000-0008-0000-0200-00001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61</xdr:row>
          <xdr:rowOff>0</xdr:rowOff>
        </xdr:from>
        <xdr:to>
          <xdr:col>5</xdr:col>
          <xdr:colOff>0</xdr:colOff>
          <xdr:row>62</xdr:row>
          <xdr:rowOff>47625</xdr:rowOff>
        </xdr:to>
        <xdr:sp macro="" textlink="">
          <xdr:nvSpPr>
            <xdr:cNvPr id="108573" name="Check Box 3101" hidden="1">
              <a:extLst>
                <a:ext uri="{63B3BB69-23CF-44E3-9099-C40C66FF867C}">
                  <a14:compatExt spid="_x0000_s108573"/>
                </a:ext>
                <a:ext uri="{FF2B5EF4-FFF2-40B4-BE49-F238E27FC236}">
                  <a16:creationId xmlns:a16="http://schemas.microsoft.com/office/drawing/2014/main" id="{00000000-0008-0000-0200-00001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62</xdr:row>
          <xdr:rowOff>0</xdr:rowOff>
        </xdr:from>
        <xdr:to>
          <xdr:col>5</xdr:col>
          <xdr:colOff>0</xdr:colOff>
          <xdr:row>63</xdr:row>
          <xdr:rowOff>47625</xdr:rowOff>
        </xdr:to>
        <xdr:sp macro="" textlink="">
          <xdr:nvSpPr>
            <xdr:cNvPr id="108574" name="Check Box 3102" hidden="1">
              <a:extLst>
                <a:ext uri="{63B3BB69-23CF-44E3-9099-C40C66FF867C}">
                  <a14:compatExt spid="_x0000_s108574"/>
                </a:ext>
                <a:ext uri="{FF2B5EF4-FFF2-40B4-BE49-F238E27FC236}">
                  <a16:creationId xmlns:a16="http://schemas.microsoft.com/office/drawing/2014/main" id="{00000000-0008-0000-0200-00001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63</xdr:row>
          <xdr:rowOff>0</xdr:rowOff>
        </xdr:from>
        <xdr:to>
          <xdr:col>5</xdr:col>
          <xdr:colOff>0</xdr:colOff>
          <xdr:row>64</xdr:row>
          <xdr:rowOff>47625</xdr:rowOff>
        </xdr:to>
        <xdr:sp macro="" textlink="">
          <xdr:nvSpPr>
            <xdr:cNvPr id="108575" name="Check Box 3103" hidden="1">
              <a:extLst>
                <a:ext uri="{63B3BB69-23CF-44E3-9099-C40C66FF867C}">
                  <a14:compatExt spid="_x0000_s108575"/>
                </a:ext>
                <a:ext uri="{FF2B5EF4-FFF2-40B4-BE49-F238E27FC236}">
                  <a16:creationId xmlns:a16="http://schemas.microsoft.com/office/drawing/2014/main" id="{00000000-0008-0000-0200-00001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64</xdr:row>
          <xdr:rowOff>0</xdr:rowOff>
        </xdr:from>
        <xdr:to>
          <xdr:col>5</xdr:col>
          <xdr:colOff>0</xdr:colOff>
          <xdr:row>65</xdr:row>
          <xdr:rowOff>47625</xdr:rowOff>
        </xdr:to>
        <xdr:sp macro="" textlink="">
          <xdr:nvSpPr>
            <xdr:cNvPr id="108576" name="Check Box 3104" hidden="1">
              <a:extLst>
                <a:ext uri="{63B3BB69-23CF-44E3-9099-C40C66FF867C}">
                  <a14:compatExt spid="_x0000_s108576"/>
                </a:ext>
                <a:ext uri="{FF2B5EF4-FFF2-40B4-BE49-F238E27FC236}">
                  <a16:creationId xmlns:a16="http://schemas.microsoft.com/office/drawing/2014/main" id="{00000000-0008-0000-0200-00002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65</xdr:row>
          <xdr:rowOff>0</xdr:rowOff>
        </xdr:from>
        <xdr:to>
          <xdr:col>5</xdr:col>
          <xdr:colOff>0</xdr:colOff>
          <xdr:row>66</xdr:row>
          <xdr:rowOff>47625</xdr:rowOff>
        </xdr:to>
        <xdr:sp macro="" textlink="">
          <xdr:nvSpPr>
            <xdr:cNvPr id="108577" name="Check Box 3105" hidden="1">
              <a:extLst>
                <a:ext uri="{63B3BB69-23CF-44E3-9099-C40C66FF867C}">
                  <a14:compatExt spid="_x0000_s108577"/>
                </a:ext>
                <a:ext uri="{FF2B5EF4-FFF2-40B4-BE49-F238E27FC236}">
                  <a16:creationId xmlns:a16="http://schemas.microsoft.com/office/drawing/2014/main" id="{00000000-0008-0000-0200-00002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66</xdr:row>
          <xdr:rowOff>0</xdr:rowOff>
        </xdr:from>
        <xdr:to>
          <xdr:col>5</xdr:col>
          <xdr:colOff>0</xdr:colOff>
          <xdr:row>67</xdr:row>
          <xdr:rowOff>47625</xdr:rowOff>
        </xdr:to>
        <xdr:sp macro="" textlink="">
          <xdr:nvSpPr>
            <xdr:cNvPr id="108578" name="Check Box 3106" hidden="1">
              <a:extLst>
                <a:ext uri="{63B3BB69-23CF-44E3-9099-C40C66FF867C}">
                  <a14:compatExt spid="_x0000_s108578"/>
                </a:ext>
                <a:ext uri="{FF2B5EF4-FFF2-40B4-BE49-F238E27FC236}">
                  <a16:creationId xmlns:a16="http://schemas.microsoft.com/office/drawing/2014/main" id="{00000000-0008-0000-0200-00002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67</xdr:row>
          <xdr:rowOff>0</xdr:rowOff>
        </xdr:from>
        <xdr:to>
          <xdr:col>5</xdr:col>
          <xdr:colOff>0</xdr:colOff>
          <xdr:row>68</xdr:row>
          <xdr:rowOff>47625</xdr:rowOff>
        </xdr:to>
        <xdr:sp macro="" textlink="">
          <xdr:nvSpPr>
            <xdr:cNvPr id="108579" name="Check Box 3107" hidden="1">
              <a:extLst>
                <a:ext uri="{63B3BB69-23CF-44E3-9099-C40C66FF867C}">
                  <a14:compatExt spid="_x0000_s108579"/>
                </a:ext>
                <a:ext uri="{FF2B5EF4-FFF2-40B4-BE49-F238E27FC236}">
                  <a16:creationId xmlns:a16="http://schemas.microsoft.com/office/drawing/2014/main" id="{00000000-0008-0000-0200-00002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68</xdr:row>
          <xdr:rowOff>0</xdr:rowOff>
        </xdr:from>
        <xdr:to>
          <xdr:col>5</xdr:col>
          <xdr:colOff>0</xdr:colOff>
          <xdr:row>69</xdr:row>
          <xdr:rowOff>47625</xdr:rowOff>
        </xdr:to>
        <xdr:sp macro="" textlink="">
          <xdr:nvSpPr>
            <xdr:cNvPr id="108580" name="Check Box 3108" hidden="1">
              <a:extLst>
                <a:ext uri="{63B3BB69-23CF-44E3-9099-C40C66FF867C}">
                  <a14:compatExt spid="_x0000_s108580"/>
                </a:ext>
                <a:ext uri="{FF2B5EF4-FFF2-40B4-BE49-F238E27FC236}">
                  <a16:creationId xmlns:a16="http://schemas.microsoft.com/office/drawing/2014/main" id="{00000000-0008-0000-0200-00002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69</xdr:row>
          <xdr:rowOff>0</xdr:rowOff>
        </xdr:from>
        <xdr:to>
          <xdr:col>5</xdr:col>
          <xdr:colOff>0</xdr:colOff>
          <xdr:row>70</xdr:row>
          <xdr:rowOff>47625</xdr:rowOff>
        </xdr:to>
        <xdr:sp macro="" textlink="">
          <xdr:nvSpPr>
            <xdr:cNvPr id="108581" name="Check Box 3109" hidden="1">
              <a:extLst>
                <a:ext uri="{63B3BB69-23CF-44E3-9099-C40C66FF867C}">
                  <a14:compatExt spid="_x0000_s108581"/>
                </a:ext>
                <a:ext uri="{FF2B5EF4-FFF2-40B4-BE49-F238E27FC236}">
                  <a16:creationId xmlns:a16="http://schemas.microsoft.com/office/drawing/2014/main" id="{00000000-0008-0000-0200-00002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70</xdr:row>
          <xdr:rowOff>0</xdr:rowOff>
        </xdr:from>
        <xdr:to>
          <xdr:col>5</xdr:col>
          <xdr:colOff>0</xdr:colOff>
          <xdr:row>71</xdr:row>
          <xdr:rowOff>47625</xdr:rowOff>
        </xdr:to>
        <xdr:sp macro="" textlink="">
          <xdr:nvSpPr>
            <xdr:cNvPr id="108582" name="Check Box 3110" hidden="1">
              <a:extLst>
                <a:ext uri="{63B3BB69-23CF-44E3-9099-C40C66FF867C}">
                  <a14:compatExt spid="_x0000_s108582"/>
                </a:ext>
                <a:ext uri="{FF2B5EF4-FFF2-40B4-BE49-F238E27FC236}">
                  <a16:creationId xmlns:a16="http://schemas.microsoft.com/office/drawing/2014/main" id="{00000000-0008-0000-0200-00002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71</xdr:row>
          <xdr:rowOff>0</xdr:rowOff>
        </xdr:from>
        <xdr:to>
          <xdr:col>5</xdr:col>
          <xdr:colOff>0</xdr:colOff>
          <xdr:row>72</xdr:row>
          <xdr:rowOff>47625</xdr:rowOff>
        </xdr:to>
        <xdr:sp macro="" textlink="">
          <xdr:nvSpPr>
            <xdr:cNvPr id="108583" name="Check Box 3111" hidden="1">
              <a:extLst>
                <a:ext uri="{63B3BB69-23CF-44E3-9099-C40C66FF867C}">
                  <a14:compatExt spid="_x0000_s108583"/>
                </a:ext>
                <a:ext uri="{FF2B5EF4-FFF2-40B4-BE49-F238E27FC236}">
                  <a16:creationId xmlns:a16="http://schemas.microsoft.com/office/drawing/2014/main" id="{00000000-0008-0000-0200-00002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72</xdr:row>
          <xdr:rowOff>0</xdr:rowOff>
        </xdr:from>
        <xdr:to>
          <xdr:col>5</xdr:col>
          <xdr:colOff>0</xdr:colOff>
          <xdr:row>73</xdr:row>
          <xdr:rowOff>47625</xdr:rowOff>
        </xdr:to>
        <xdr:sp macro="" textlink="">
          <xdr:nvSpPr>
            <xdr:cNvPr id="108584" name="Check Box 3112" hidden="1">
              <a:extLst>
                <a:ext uri="{63B3BB69-23CF-44E3-9099-C40C66FF867C}">
                  <a14:compatExt spid="_x0000_s108584"/>
                </a:ext>
                <a:ext uri="{FF2B5EF4-FFF2-40B4-BE49-F238E27FC236}">
                  <a16:creationId xmlns:a16="http://schemas.microsoft.com/office/drawing/2014/main" id="{00000000-0008-0000-0200-00002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73</xdr:row>
          <xdr:rowOff>0</xdr:rowOff>
        </xdr:from>
        <xdr:to>
          <xdr:col>5</xdr:col>
          <xdr:colOff>0</xdr:colOff>
          <xdr:row>74</xdr:row>
          <xdr:rowOff>47625</xdr:rowOff>
        </xdr:to>
        <xdr:sp macro="" textlink="">
          <xdr:nvSpPr>
            <xdr:cNvPr id="108585" name="Check Box 3113" hidden="1">
              <a:extLst>
                <a:ext uri="{63B3BB69-23CF-44E3-9099-C40C66FF867C}">
                  <a14:compatExt spid="_x0000_s108585"/>
                </a:ext>
                <a:ext uri="{FF2B5EF4-FFF2-40B4-BE49-F238E27FC236}">
                  <a16:creationId xmlns:a16="http://schemas.microsoft.com/office/drawing/2014/main" id="{00000000-0008-0000-0200-00002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74</xdr:row>
          <xdr:rowOff>0</xdr:rowOff>
        </xdr:from>
        <xdr:to>
          <xdr:col>5</xdr:col>
          <xdr:colOff>0</xdr:colOff>
          <xdr:row>75</xdr:row>
          <xdr:rowOff>47625</xdr:rowOff>
        </xdr:to>
        <xdr:sp macro="" textlink="">
          <xdr:nvSpPr>
            <xdr:cNvPr id="108586" name="Check Box 3114" hidden="1">
              <a:extLst>
                <a:ext uri="{63B3BB69-23CF-44E3-9099-C40C66FF867C}">
                  <a14:compatExt spid="_x0000_s108586"/>
                </a:ext>
                <a:ext uri="{FF2B5EF4-FFF2-40B4-BE49-F238E27FC236}">
                  <a16:creationId xmlns:a16="http://schemas.microsoft.com/office/drawing/2014/main" id="{00000000-0008-0000-0200-00002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75</xdr:row>
          <xdr:rowOff>0</xdr:rowOff>
        </xdr:from>
        <xdr:to>
          <xdr:col>5</xdr:col>
          <xdr:colOff>0</xdr:colOff>
          <xdr:row>76</xdr:row>
          <xdr:rowOff>47625</xdr:rowOff>
        </xdr:to>
        <xdr:sp macro="" textlink="">
          <xdr:nvSpPr>
            <xdr:cNvPr id="108587" name="Check Box 3115" hidden="1">
              <a:extLst>
                <a:ext uri="{63B3BB69-23CF-44E3-9099-C40C66FF867C}">
                  <a14:compatExt spid="_x0000_s108587"/>
                </a:ext>
                <a:ext uri="{FF2B5EF4-FFF2-40B4-BE49-F238E27FC236}">
                  <a16:creationId xmlns:a16="http://schemas.microsoft.com/office/drawing/2014/main" id="{00000000-0008-0000-0200-00002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76</xdr:row>
          <xdr:rowOff>0</xdr:rowOff>
        </xdr:from>
        <xdr:to>
          <xdr:col>5</xdr:col>
          <xdr:colOff>0</xdr:colOff>
          <xdr:row>77</xdr:row>
          <xdr:rowOff>47625</xdr:rowOff>
        </xdr:to>
        <xdr:sp macro="" textlink="">
          <xdr:nvSpPr>
            <xdr:cNvPr id="108588" name="Check Box 3116" hidden="1">
              <a:extLst>
                <a:ext uri="{63B3BB69-23CF-44E3-9099-C40C66FF867C}">
                  <a14:compatExt spid="_x0000_s108588"/>
                </a:ext>
                <a:ext uri="{FF2B5EF4-FFF2-40B4-BE49-F238E27FC236}">
                  <a16:creationId xmlns:a16="http://schemas.microsoft.com/office/drawing/2014/main" id="{00000000-0008-0000-0200-00002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77</xdr:row>
          <xdr:rowOff>0</xdr:rowOff>
        </xdr:from>
        <xdr:to>
          <xdr:col>5</xdr:col>
          <xdr:colOff>0</xdr:colOff>
          <xdr:row>78</xdr:row>
          <xdr:rowOff>47625</xdr:rowOff>
        </xdr:to>
        <xdr:sp macro="" textlink="">
          <xdr:nvSpPr>
            <xdr:cNvPr id="108589" name="Check Box 3117" hidden="1">
              <a:extLst>
                <a:ext uri="{63B3BB69-23CF-44E3-9099-C40C66FF867C}">
                  <a14:compatExt spid="_x0000_s108589"/>
                </a:ext>
                <a:ext uri="{FF2B5EF4-FFF2-40B4-BE49-F238E27FC236}">
                  <a16:creationId xmlns:a16="http://schemas.microsoft.com/office/drawing/2014/main" id="{00000000-0008-0000-0200-00002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78</xdr:row>
          <xdr:rowOff>0</xdr:rowOff>
        </xdr:from>
        <xdr:to>
          <xdr:col>5</xdr:col>
          <xdr:colOff>0</xdr:colOff>
          <xdr:row>79</xdr:row>
          <xdr:rowOff>47625</xdr:rowOff>
        </xdr:to>
        <xdr:sp macro="" textlink="">
          <xdr:nvSpPr>
            <xdr:cNvPr id="108590" name="Check Box 3118" hidden="1">
              <a:extLst>
                <a:ext uri="{63B3BB69-23CF-44E3-9099-C40C66FF867C}">
                  <a14:compatExt spid="_x0000_s108590"/>
                </a:ext>
                <a:ext uri="{FF2B5EF4-FFF2-40B4-BE49-F238E27FC236}">
                  <a16:creationId xmlns:a16="http://schemas.microsoft.com/office/drawing/2014/main" id="{00000000-0008-0000-0200-00002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79</xdr:row>
          <xdr:rowOff>0</xdr:rowOff>
        </xdr:from>
        <xdr:to>
          <xdr:col>5</xdr:col>
          <xdr:colOff>0</xdr:colOff>
          <xdr:row>80</xdr:row>
          <xdr:rowOff>47625</xdr:rowOff>
        </xdr:to>
        <xdr:sp macro="" textlink="">
          <xdr:nvSpPr>
            <xdr:cNvPr id="108591" name="Check Box 3119" hidden="1">
              <a:extLst>
                <a:ext uri="{63B3BB69-23CF-44E3-9099-C40C66FF867C}">
                  <a14:compatExt spid="_x0000_s108591"/>
                </a:ext>
                <a:ext uri="{FF2B5EF4-FFF2-40B4-BE49-F238E27FC236}">
                  <a16:creationId xmlns:a16="http://schemas.microsoft.com/office/drawing/2014/main" id="{00000000-0008-0000-0200-00002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80</xdr:row>
          <xdr:rowOff>0</xdr:rowOff>
        </xdr:from>
        <xdr:to>
          <xdr:col>5</xdr:col>
          <xdr:colOff>0</xdr:colOff>
          <xdr:row>81</xdr:row>
          <xdr:rowOff>47625</xdr:rowOff>
        </xdr:to>
        <xdr:sp macro="" textlink="">
          <xdr:nvSpPr>
            <xdr:cNvPr id="108592" name="Check Box 3120" hidden="1">
              <a:extLst>
                <a:ext uri="{63B3BB69-23CF-44E3-9099-C40C66FF867C}">
                  <a14:compatExt spid="_x0000_s108592"/>
                </a:ext>
                <a:ext uri="{FF2B5EF4-FFF2-40B4-BE49-F238E27FC236}">
                  <a16:creationId xmlns:a16="http://schemas.microsoft.com/office/drawing/2014/main" id="{00000000-0008-0000-0200-00003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81</xdr:row>
          <xdr:rowOff>0</xdr:rowOff>
        </xdr:from>
        <xdr:to>
          <xdr:col>5</xdr:col>
          <xdr:colOff>0</xdr:colOff>
          <xdr:row>82</xdr:row>
          <xdr:rowOff>47625</xdr:rowOff>
        </xdr:to>
        <xdr:sp macro="" textlink="">
          <xdr:nvSpPr>
            <xdr:cNvPr id="108593" name="Check Box 3121" hidden="1">
              <a:extLst>
                <a:ext uri="{63B3BB69-23CF-44E3-9099-C40C66FF867C}">
                  <a14:compatExt spid="_x0000_s108593"/>
                </a:ext>
                <a:ext uri="{FF2B5EF4-FFF2-40B4-BE49-F238E27FC236}">
                  <a16:creationId xmlns:a16="http://schemas.microsoft.com/office/drawing/2014/main" id="{00000000-0008-0000-0200-00003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82</xdr:row>
          <xdr:rowOff>0</xdr:rowOff>
        </xdr:from>
        <xdr:to>
          <xdr:col>5</xdr:col>
          <xdr:colOff>0</xdr:colOff>
          <xdr:row>83</xdr:row>
          <xdr:rowOff>47625</xdr:rowOff>
        </xdr:to>
        <xdr:sp macro="" textlink="">
          <xdr:nvSpPr>
            <xdr:cNvPr id="108594" name="Check Box 3122" hidden="1">
              <a:extLst>
                <a:ext uri="{63B3BB69-23CF-44E3-9099-C40C66FF867C}">
                  <a14:compatExt spid="_x0000_s108594"/>
                </a:ext>
                <a:ext uri="{FF2B5EF4-FFF2-40B4-BE49-F238E27FC236}">
                  <a16:creationId xmlns:a16="http://schemas.microsoft.com/office/drawing/2014/main" id="{00000000-0008-0000-0200-00003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83</xdr:row>
          <xdr:rowOff>0</xdr:rowOff>
        </xdr:from>
        <xdr:to>
          <xdr:col>5</xdr:col>
          <xdr:colOff>0</xdr:colOff>
          <xdr:row>84</xdr:row>
          <xdr:rowOff>47625</xdr:rowOff>
        </xdr:to>
        <xdr:sp macro="" textlink="">
          <xdr:nvSpPr>
            <xdr:cNvPr id="108595" name="Check Box 3123" hidden="1">
              <a:extLst>
                <a:ext uri="{63B3BB69-23CF-44E3-9099-C40C66FF867C}">
                  <a14:compatExt spid="_x0000_s108595"/>
                </a:ext>
                <a:ext uri="{FF2B5EF4-FFF2-40B4-BE49-F238E27FC236}">
                  <a16:creationId xmlns:a16="http://schemas.microsoft.com/office/drawing/2014/main" id="{00000000-0008-0000-0200-00003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84</xdr:row>
          <xdr:rowOff>0</xdr:rowOff>
        </xdr:from>
        <xdr:to>
          <xdr:col>5</xdr:col>
          <xdr:colOff>0</xdr:colOff>
          <xdr:row>85</xdr:row>
          <xdr:rowOff>47625</xdr:rowOff>
        </xdr:to>
        <xdr:sp macro="" textlink="">
          <xdr:nvSpPr>
            <xdr:cNvPr id="108596" name="Check Box 3124" hidden="1">
              <a:extLst>
                <a:ext uri="{63B3BB69-23CF-44E3-9099-C40C66FF867C}">
                  <a14:compatExt spid="_x0000_s108596"/>
                </a:ext>
                <a:ext uri="{FF2B5EF4-FFF2-40B4-BE49-F238E27FC236}">
                  <a16:creationId xmlns:a16="http://schemas.microsoft.com/office/drawing/2014/main" id="{00000000-0008-0000-0200-00003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85</xdr:row>
          <xdr:rowOff>0</xdr:rowOff>
        </xdr:from>
        <xdr:to>
          <xdr:col>5</xdr:col>
          <xdr:colOff>0</xdr:colOff>
          <xdr:row>86</xdr:row>
          <xdr:rowOff>47625</xdr:rowOff>
        </xdr:to>
        <xdr:sp macro="" textlink="">
          <xdr:nvSpPr>
            <xdr:cNvPr id="108597" name="Check Box 3125" hidden="1">
              <a:extLst>
                <a:ext uri="{63B3BB69-23CF-44E3-9099-C40C66FF867C}">
                  <a14:compatExt spid="_x0000_s108597"/>
                </a:ext>
                <a:ext uri="{FF2B5EF4-FFF2-40B4-BE49-F238E27FC236}">
                  <a16:creationId xmlns:a16="http://schemas.microsoft.com/office/drawing/2014/main" id="{00000000-0008-0000-0200-00003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86</xdr:row>
          <xdr:rowOff>0</xdr:rowOff>
        </xdr:from>
        <xdr:to>
          <xdr:col>5</xdr:col>
          <xdr:colOff>0</xdr:colOff>
          <xdr:row>87</xdr:row>
          <xdr:rowOff>47625</xdr:rowOff>
        </xdr:to>
        <xdr:sp macro="" textlink="">
          <xdr:nvSpPr>
            <xdr:cNvPr id="108598" name="Check Box 3126" hidden="1">
              <a:extLst>
                <a:ext uri="{63B3BB69-23CF-44E3-9099-C40C66FF867C}">
                  <a14:compatExt spid="_x0000_s108598"/>
                </a:ext>
                <a:ext uri="{FF2B5EF4-FFF2-40B4-BE49-F238E27FC236}">
                  <a16:creationId xmlns:a16="http://schemas.microsoft.com/office/drawing/2014/main" id="{00000000-0008-0000-0200-00003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87</xdr:row>
          <xdr:rowOff>0</xdr:rowOff>
        </xdr:from>
        <xdr:to>
          <xdr:col>5</xdr:col>
          <xdr:colOff>0</xdr:colOff>
          <xdr:row>88</xdr:row>
          <xdr:rowOff>47625</xdr:rowOff>
        </xdr:to>
        <xdr:sp macro="" textlink="">
          <xdr:nvSpPr>
            <xdr:cNvPr id="108599" name="Check Box 3127" hidden="1">
              <a:extLst>
                <a:ext uri="{63B3BB69-23CF-44E3-9099-C40C66FF867C}">
                  <a14:compatExt spid="_x0000_s108599"/>
                </a:ext>
                <a:ext uri="{FF2B5EF4-FFF2-40B4-BE49-F238E27FC236}">
                  <a16:creationId xmlns:a16="http://schemas.microsoft.com/office/drawing/2014/main" id="{00000000-0008-0000-0200-00003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88</xdr:row>
          <xdr:rowOff>0</xdr:rowOff>
        </xdr:from>
        <xdr:to>
          <xdr:col>5</xdr:col>
          <xdr:colOff>0</xdr:colOff>
          <xdr:row>89</xdr:row>
          <xdr:rowOff>47625</xdr:rowOff>
        </xdr:to>
        <xdr:sp macro="" textlink="">
          <xdr:nvSpPr>
            <xdr:cNvPr id="108600" name="Check Box 3128" hidden="1">
              <a:extLst>
                <a:ext uri="{63B3BB69-23CF-44E3-9099-C40C66FF867C}">
                  <a14:compatExt spid="_x0000_s108600"/>
                </a:ext>
                <a:ext uri="{FF2B5EF4-FFF2-40B4-BE49-F238E27FC236}">
                  <a16:creationId xmlns:a16="http://schemas.microsoft.com/office/drawing/2014/main" id="{00000000-0008-0000-0200-00003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89</xdr:row>
          <xdr:rowOff>0</xdr:rowOff>
        </xdr:from>
        <xdr:to>
          <xdr:col>5</xdr:col>
          <xdr:colOff>0</xdr:colOff>
          <xdr:row>90</xdr:row>
          <xdr:rowOff>47625</xdr:rowOff>
        </xdr:to>
        <xdr:sp macro="" textlink="">
          <xdr:nvSpPr>
            <xdr:cNvPr id="108601" name="Check Box 3129" hidden="1">
              <a:extLst>
                <a:ext uri="{63B3BB69-23CF-44E3-9099-C40C66FF867C}">
                  <a14:compatExt spid="_x0000_s108601"/>
                </a:ext>
                <a:ext uri="{FF2B5EF4-FFF2-40B4-BE49-F238E27FC236}">
                  <a16:creationId xmlns:a16="http://schemas.microsoft.com/office/drawing/2014/main" id="{00000000-0008-0000-0200-00003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90</xdr:row>
          <xdr:rowOff>0</xdr:rowOff>
        </xdr:from>
        <xdr:to>
          <xdr:col>5</xdr:col>
          <xdr:colOff>0</xdr:colOff>
          <xdr:row>91</xdr:row>
          <xdr:rowOff>47625</xdr:rowOff>
        </xdr:to>
        <xdr:sp macro="" textlink="">
          <xdr:nvSpPr>
            <xdr:cNvPr id="108602" name="Check Box 3130" hidden="1">
              <a:extLst>
                <a:ext uri="{63B3BB69-23CF-44E3-9099-C40C66FF867C}">
                  <a14:compatExt spid="_x0000_s108602"/>
                </a:ext>
                <a:ext uri="{FF2B5EF4-FFF2-40B4-BE49-F238E27FC236}">
                  <a16:creationId xmlns:a16="http://schemas.microsoft.com/office/drawing/2014/main" id="{00000000-0008-0000-0200-00003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91</xdr:row>
          <xdr:rowOff>0</xdr:rowOff>
        </xdr:from>
        <xdr:to>
          <xdr:col>5</xdr:col>
          <xdr:colOff>0</xdr:colOff>
          <xdr:row>92</xdr:row>
          <xdr:rowOff>47625</xdr:rowOff>
        </xdr:to>
        <xdr:sp macro="" textlink="">
          <xdr:nvSpPr>
            <xdr:cNvPr id="108603" name="Check Box 3131" hidden="1">
              <a:extLst>
                <a:ext uri="{63B3BB69-23CF-44E3-9099-C40C66FF867C}">
                  <a14:compatExt spid="_x0000_s108603"/>
                </a:ext>
                <a:ext uri="{FF2B5EF4-FFF2-40B4-BE49-F238E27FC236}">
                  <a16:creationId xmlns:a16="http://schemas.microsoft.com/office/drawing/2014/main" id="{00000000-0008-0000-0200-00003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92</xdr:row>
          <xdr:rowOff>0</xdr:rowOff>
        </xdr:from>
        <xdr:to>
          <xdr:col>5</xdr:col>
          <xdr:colOff>0</xdr:colOff>
          <xdr:row>93</xdr:row>
          <xdr:rowOff>47625</xdr:rowOff>
        </xdr:to>
        <xdr:sp macro="" textlink="">
          <xdr:nvSpPr>
            <xdr:cNvPr id="108604" name="Check Box 3132" hidden="1">
              <a:extLst>
                <a:ext uri="{63B3BB69-23CF-44E3-9099-C40C66FF867C}">
                  <a14:compatExt spid="_x0000_s108604"/>
                </a:ext>
                <a:ext uri="{FF2B5EF4-FFF2-40B4-BE49-F238E27FC236}">
                  <a16:creationId xmlns:a16="http://schemas.microsoft.com/office/drawing/2014/main" id="{00000000-0008-0000-0200-00003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93</xdr:row>
          <xdr:rowOff>0</xdr:rowOff>
        </xdr:from>
        <xdr:to>
          <xdr:col>5</xdr:col>
          <xdr:colOff>0</xdr:colOff>
          <xdr:row>94</xdr:row>
          <xdr:rowOff>47625</xdr:rowOff>
        </xdr:to>
        <xdr:sp macro="" textlink="">
          <xdr:nvSpPr>
            <xdr:cNvPr id="108605" name="Check Box 3133" hidden="1">
              <a:extLst>
                <a:ext uri="{63B3BB69-23CF-44E3-9099-C40C66FF867C}">
                  <a14:compatExt spid="_x0000_s108605"/>
                </a:ext>
                <a:ext uri="{FF2B5EF4-FFF2-40B4-BE49-F238E27FC236}">
                  <a16:creationId xmlns:a16="http://schemas.microsoft.com/office/drawing/2014/main" id="{00000000-0008-0000-0200-00003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94</xdr:row>
          <xdr:rowOff>0</xdr:rowOff>
        </xdr:from>
        <xdr:to>
          <xdr:col>5</xdr:col>
          <xdr:colOff>0</xdr:colOff>
          <xdr:row>95</xdr:row>
          <xdr:rowOff>47625</xdr:rowOff>
        </xdr:to>
        <xdr:sp macro="" textlink="">
          <xdr:nvSpPr>
            <xdr:cNvPr id="108606" name="Check Box 3134" hidden="1">
              <a:extLst>
                <a:ext uri="{63B3BB69-23CF-44E3-9099-C40C66FF867C}">
                  <a14:compatExt spid="_x0000_s108606"/>
                </a:ext>
                <a:ext uri="{FF2B5EF4-FFF2-40B4-BE49-F238E27FC236}">
                  <a16:creationId xmlns:a16="http://schemas.microsoft.com/office/drawing/2014/main" id="{00000000-0008-0000-0200-00003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95</xdr:row>
          <xdr:rowOff>0</xdr:rowOff>
        </xdr:from>
        <xdr:to>
          <xdr:col>5</xdr:col>
          <xdr:colOff>0</xdr:colOff>
          <xdr:row>96</xdr:row>
          <xdr:rowOff>47625</xdr:rowOff>
        </xdr:to>
        <xdr:sp macro="" textlink="">
          <xdr:nvSpPr>
            <xdr:cNvPr id="108607" name="Check Box 3135" hidden="1">
              <a:extLst>
                <a:ext uri="{63B3BB69-23CF-44E3-9099-C40C66FF867C}">
                  <a14:compatExt spid="_x0000_s108607"/>
                </a:ext>
                <a:ext uri="{FF2B5EF4-FFF2-40B4-BE49-F238E27FC236}">
                  <a16:creationId xmlns:a16="http://schemas.microsoft.com/office/drawing/2014/main" id="{00000000-0008-0000-0200-00003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96</xdr:row>
          <xdr:rowOff>0</xdr:rowOff>
        </xdr:from>
        <xdr:to>
          <xdr:col>5</xdr:col>
          <xdr:colOff>0</xdr:colOff>
          <xdr:row>97</xdr:row>
          <xdr:rowOff>47625</xdr:rowOff>
        </xdr:to>
        <xdr:sp macro="" textlink="">
          <xdr:nvSpPr>
            <xdr:cNvPr id="108608" name="Check Box 3136" hidden="1">
              <a:extLst>
                <a:ext uri="{63B3BB69-23CF-44E3-9099-C40C66FF867C}">
                  <a14:compatExt spid="_x0000_s108608"/>
                </a:ext>
                <a:ext uri="{FF2B5EF4-FFF2-40B4-BE49-F238E27FC236}">
                  <a16:creationId xmlns:a16="http://schemas.microsoft.com/office/drawing/2014/main" id="{00000000-0008-0000-0200-00004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97</xdr:row>
          <xdr:rowOff>0</xdr:rowOff>
        </xdr:from>
        <xdr:to>
          <xdr:col>5</xdr:col>
          <xdr:colOff>0</xdr:colOff>
          <xdr:row>98</xdr:row>
          <xdr:rowOff>47625</xdr:rowOff>
        </xdr:to>
        <xdr:sp macro="" textlink="">
          <xdr:nvSpPr>
            <xdr:cNvPr id="108609" name="Check Box 3137" hidden="1">
              <a:extLst>
                <a:ext uri="{63B3BB69-23CF-44E3-9099-C40C66FF867C}">
                  <a14:compatExt spid="_x0000_s108609"/>
                </a:ext>
                <a:ext uri="{FF2B5EF4-FFF2-40B4-BE49-F238E27FC236}">
                  <a16:creationId xmlns:a16="http://schemas.microsoft.com/office/drawing/2014/main" id="{00000000-0008-0000-0200-00004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98</xdr:row>
          <xdr:rowOff>0</xdr:rowOff>
        </xdr:from>
        <xdr:to>
          <xdr:col>5</xdr:col>
          <xdr:colOff>0</xdr:colOff>
          <xdr:row>99</xdr:row>
          <xdr:rowOff>47625</xdr:rowOff>
        </xdr:to>
        <xdr:sp macro="" textlink="">
          <xdr:nvSpPr>
            <xdr:cNvPr id="108610" name="Check Box 3138" hidden="1">
              <a:extLst>
                <a:ext uri="{63B3BB69-23CF-44E3-9099-C40C66FF867C}">
                  <a14:compatExt spid="_x0000_s108610"/>
                </a:ext>
                <a:ext uri="{FF2B5EF4-FFF2-40B4-BE49-F238E27FC236}">
                  <a16:creationId xmlns:a16="http://schemas.microsoft.com/office/drawing/2014/main" id="{00000000-0008-0000-0200-00004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99</xdr:row>
          <xdr:rowOff>0</xdr:rowOff>
        </xdr:from>
        <xdr:to>
          <xdr:col>5</xdr:col>
          <xdr:colOff>0</xdr:colOff>
          <xdr:row>100</xdr:row>
          <xdr:rowOff>47625</xdr:rowOff>
        </xdr:to>
        <xdr:sp macro="" textlink="">
          <xdr:nvSpPr>
            <xdr:cNvPr id="108611" name="Check Box 3139" hidden="1">
              <a:extLst>
                <a:ext uri="{63B3BB69-23CF-44E3-9099-C40C66FF867C}">
                  <a14:compatExt spid="_x0000_s108611"/>
                </a:ext>
                <a:ext uri="{FF2B5EF4-FFF2-40B4-BE49-F238E27FC236}">
                  <a16:creationId xmlns:a16="http://schemas.microsoft.com/office/drawing/2014/main" id="{00000000-0008-0000-0200-00004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100</xdr:row>
          <xdr:rowOff>0</xdr:rowOff>
        </xdr:from>
        <xdr:to>
          <xdr:col>5</xdr:col>
          <xdr:colOff>0</xdr:colOff>
          <xdr:row>101</xdr:row>
          <xdr:rowOff>47625</xdr:rowOff>
        </xdr:to>
        <xdr:sp macro="" textlink="">
          <xdr:nvSpPr>
            <xdr:cNvPr id="108612" name="Check Box 3140" hidden="1">
              <a:extLst>
                <a:ext uri="{63B3BB69-23CF-44E3-9099-C40C66FF867C}">
                  <a14:compatExt spid="_x0000_s108612"/>
                </a:ext>
                <a:ext uri="{FF2B5EF4-FFF2-40B4-BE49-F238E27FC236}">
                  <a16:creationId xmlns:a16="http://schemas.microsoft.com/office/drawing/2014/main" id="{00000000-0008-0000-0200-00004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101</xdr:row>
          <xdr:rowOff>0</xdr:rowOff>
        </xdr:from>
        <xdr:to>
          <xdr:col>5</xdr:col>
          <xdr:colOff>0</xdr:colOff>
          <xdr:row>102</xdr:row>
          <xdr:rowOff>47625</xdr:rowOff>
        </xdr:to>
        <xdr:sp macro="" textlink="">
          <xdr:nvSpPr>
            <xdr:cNvPr id="108613" name="Check Box 3141" hidden="1">
              <a:extLst>
                <a:ext uri="{63B3BB69-23CF-44E3-9099-C40C66FF867C}">
                  <a14:compatExt spid="_x0000_s108613"/>
                </a:ext>
                <a:ext uri="{FF2B5EF4-FFF2-40B4-BE49-F238E27FC236}">
                  <a16:creationId xmlns:a16="http://schemas.microsoft.com/office/drawing/2014/main" id="{00000000-0008-0000-0200-00004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102</xdr:row>
          <xdr:rowOff>0</xdr:rowOff>
        </xdr:from>
        <xdr:to>
          <xdr:col>5</xdr:col>
          <xdr:colOff>0</xdr:colOff>
          <xdr:row>103</xdr:row>
          <xdr:rowOff>47625</xdr:rowOff>
        </xdr:to>
        <xdr:sp macro="" textlink="">
          <xdr:nvSpPr>
            <xdr:cNvPr id="108614" name="Check Box 3142" hidden="1">
              <a:extLst>
                <a:ext uri="{63B3BB69-23CF-44E3-9099-C40C66FF867C}">
                  <a14:compatExt spid="_x0000_s108614"/>
                </a:ext>
                <a:ext uri="{FF2B5EF4-FFF2-40B4-BE49-F238E27FC236}">
                  <a16:creationId xmlns:a16="http://schemas.microsoft.com/office/drawing/2014/main" id="{00000000-0008-0000-0200-00004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103</xdr:row>
          <xdr:rowOff>0</xdr:rowOff>
        </xdr:from>
        <xdr:to>
          <xdr:col>5</xdr:col>
          <xdr:colOff>0</xdr:colOff>
          <xdr:row>104</xdr:row>
          <xdr:rowOff>47625</xdr:rowOff>
        </xdr:to>
        <xdr:sp macro="" textlink="">
          <xdr:nvSpPr>
            <xdr:cNvPr id="108615" name="Check Box 3143" hidden="1">
              <a:extLst>
                <a:ext uri="{63B3BB69-23CF-44E3-9099-C40C66FF867C}">
                  <a14:compatExt spid="_x0000_s108615"/>
                </a:ext>
                <a:ext uri="{FF2B5EF4-FFF2-40B4-BE49-F238E27FC236}">
                  <a16:creationId xmlns:a16="http://schemas.microsoft.com/office/drawing/2014/main" id="{00000000-0008-0000-0200-00004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104</xdr:row>
          <xdr:rowOff>0</xdr:rowOff>
        </xdr:from>
        <xdr:to>
          <xdr:col>5</xdr:col>
          <xdr:colOff>0</xdr:colOff>
          <xdr:row>105</xdr:row>
          <xdr:rowOff>47625</xdr:rowOff>
        </xdr:to>
        <xdr:sp macro="" textlink="">
          <xdr:nvSpPr>
            <xdr:cNvPr id="108616" name="Check Box 3144" hidden="1">
              <a:extLst>
                <a:ext uri="{63B3BB69-23CF-44E3-9099-C40C66FF867C}">
                  <a14:compatExt spid="_x0000_s108616"/>
                </a:ext>
                <a:ext uri="{FF2B5EF4-FFF2-40B4-BE49-F238E27FC236}">
                  <a16:creationId xmlns:a16="http://schemas.microsoft.com/office/drawing/2014/main" id="{00000000-0008-0000-0200-00004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105</xdr:row>
          <xdr:rowOff>0</xdr:rowOff>
        </xdr:from>
        <xdr:to>
          <xdr:col>5</xdr:col>
          <xdr:colOff>0</xdr:colOff>
          <xdr:row>106</xdr:row>
          <xdr:rowOff>47625</xdr:rowOff>
        </xdr:to>
        <xdr:sp macro="" textlink="">
          <xdr:nvSpPr>
            <xdr:cNvPr id="108617" name="Check Box 3145" hidden="1">
              <a:extLst>
                <a:ext uri="{63B3BB69-23CF-44E3-9099-C40C66FF867C}">
                  <a14:compatExt spid="_x0000_s108617"/>
                </a:ext>
                <a:ext uri="{FF2B5EF4-FFF2-40B4-BE49-F238E27FC236}">
                  <a16:creationId xmlns:a16="http://schemas.microsoft.com/office/drawing/2014/main" id="{00000000-0008-0000-0200-00004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106</xdr:row>
          <xdr:rowOff>0</xdr:rowOff>
        </xdr:from>
        <xdr:to>
          <xdr:col>5</xdr:col>
          <xdr:colOff>0</xdr:colOff>
          <xdr:row>107</xdr:row>
          <xdr:rowOff>47625</xdr:rowOff>
        </xdr:to>
        <xdr:sp macro="" textlink="">
          <xdr:nvSpPr>
            <xdr:cNvPr id="108618" name="Check Box 3146" hidden="1">
              <a:extLst>
                <a:ext uri="{63B3BB69-23CF-44E3-9099-C40C66FF867C}">
                  <a14:compatExt spid="_x0000_s108618"/>
                </a:ext>
                <a:ext uri="{FF2B5EF4-FFF2-40B4-BE49-F238E27FC236}">
                  <a16:creationId xmlns:a16="http://schemas.microsoft.com/office/drawing/2014/main" id="{00000000-0008-0000-0200-00004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107</xdr:row>
          <xdr:rowOff>0</xdr:rowOff>
        </xdr:from>
        <xdr:to>
          <xdr:col>5</xdr:col>
          <xdr:colOff>0</xdr:colOff>
          <xdr:row>108</xdr:row>
          <xdr:rowOff>47625</xdr:rowOff>
        </xdr:to>
        <xdr:sp macro="" textlink="">
          <xdr:nvSpPr>
            <xdr:cNvPr id="108619" name="Check Box 3147" hidden="1">
              <a:extLst>
                <a:ext uri="{63B3BB69-23CF-44E3-9099-C40C66FF867C}">
                  <a14:compatExt spid="_x0000_s108619"/>
                </a:ext>
                <a:ext uri="{FF2B5EF4-FFF2-40B4-BE49-F238E27FC236}">
                  <a16:creationId xmlns:a16="http://schemas.microsoft.com/office/drawing/2014/main" id="{00000000-0008-0000-0200-00004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108</xdr:row>
          <xdr:rowOff>0</xdr:rowOff>
        </xdr:from>
        <xdr:to>
          <xdr:col>5</xdr:col>
          <xdr:colOff>0</xdr:colOff>
          <xdr:row>109</xdr:row>
          <xdr:rowOff>47625</xdr:rowOff>
        </xdr:to>
        <xdr:sp macro="" textlink="">
          <xdr:nvSpPr>
            <xdr:cNvPr id="108620" name="Check Box 3148" hidden="1">
              <a:extLst>
                <a:ext uri="{63B3BB69-23CF-44E3-9099-C40C66FF867C}">
                  <a14:compatExt spid="_x0000_s108620"/>
                </a:ext>
                <a:ext uri="{FF2B5EF4-FFF2-40B4-BE49-F238E27FC236}">
                  <a16:creationId xmlns:a16="http://schemas.microsoft.com/office/drawing/2014/main" id="{00000000-0008-0000-0200-00004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109</xdr:row>
          <xdr:rowOff>0</xdr:rowOff>
        </xdr:from>
        <xdr:to>
          <xdr:col>5</xdr:col>
          <xdr:colOff>0</xdr:colOff>
          <xdr:row>110</xdr:row>
          <xdr:rowOff>47625</xdr:rowOff>
        </xdr:to>
        <xdr:sp macro="" textlink="">
          <xdr:nvSpPr>
            <xdr:cNvPr id="108621" name="Check Box 3149" hidden="1">
              <a:extLst>
                <a:ext uri="{63B3BB69-23CF-44E3-9099-C40C66FF867C}">
                  <a14:compatExt spid="_x0000_s108621"/>
                </a:ext>
                <a:ext uri="{FF2B5EF4-FFF2-40B4-BE49-F238E27FC236}">
                  <a16:creationId xmlns:a16="http://schemas.microsoft.com/office/drawing/2014/main" id="{00000000-0008-0000-0200-00004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110</xdr:row>
          <xdr:rowOff>0</xdr:rowOff>
        </xdr:from>
        <xdr:to>
          <xdr:col>5</xdr:col>
          <xdr:colOff>0</xdr:colOff>
          <xdr:row>111</xdr:row>
          <xdr:rowOff>47625</xdr:rowOff>
        </xdr:to>
        <xdr:sp macro="" textlink="">
          <xdr:nvSpPr>
            <xdr:cNvPr id="108622" name="Check Box 3150" hidden="1">
              <a:extLst>
                <a:ext uri="{63B3BB69-23CF-44E3-9099-C40C66FF867C}">
                  <a14:compatExt spid="_x0000_s108622"/>
                </a:ext>
                <a:ext uri="{FF2B5EF4-FFF2-40B4-BE49-F238E27FC236}">
                  <a16:creationId xmlns:a16="http://schemas.microsoft.com/office/drawing/2014/main" id="{00000000-0008-0000-0200-00004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111</xdr:row>
          <xdr:rowOff>0</xdr:rowOff>
        </xdr:from>
        <xdr:to>
          <xdr:col>5</xdr:col>
          <xdr:colOff>0</xdr:colOff>
          <xdr:row>112</xdr:row>
          <xdr:rowOff>47625</xdr:rowOff>
        </xdr:to>
        <xdr:sp macro="" textlink="">
          <xdr:nvSpPr>
            <xdr:cNvPr id="108623" name="Check Box 3151" hidden="1">
              <a:extLst>
                <a:ext uri="{63B3BB69-23CF-44E3-9099-C40C66FF867C}">
                  <a14:compatExt spid="_x0000_s108623"/>
                </a:ext>
                <a:ext uri="{FF2B5EF4-FFF2-40B4-BE49-F238E27FC236}">
                  <a16:creationId xmlns:a16="http://schemas.microsoft.com/office/drawing/2014/main" id="{00000000-0008-0000-0200-00004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112</xdr:row>
          <xdr:rowOff>0</xdr:rowOff>
        </xdr:from>
        <xdr:to>
          <xdr:col>5</xdr:col>
          <xdr:colOff>0</xdr:colOff>
          <xdr:row>113</xdr:row>
          <xdr:rowOff>47625</xdr:rowOff>
        </xdr:to>
        <xdr:sp macro="" textlink="">
          <xdr:nvSpPr>
            <xdr:cNvPr id="108624" name="Check Box 3152" hidden="1">
              <a:extLst>
                <a:ext uri="{63B3BB69-23CF-44E3-9099-C40C66FF867C}">
                  <a14:compatExt spid="_x0000_s108624"/>
                </a:ext>
                <a:ext uri="{FF2B5EF4-FFF2-40B4-BE49-F238E27FC236}">
                  <a16:creationId xmlns:a16="http://schemas.microsoft.com/office/drawing/2014/main" id="{00000000-0008-0000-0200-00005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113</xdr:row>
          <xdr:rowOff>0</xdr:rowOff>
        </xdr:from>
        <xdr:to>
          <xdr:col>5</xdr:col>
          <xdr:colOff>0</xdr:colOff>
          <xdr:row>114</xdr:row>
          <xdr:rowOff>47625</xdr:rowOff>
        </xdr:to>
        <xdr:sp macro="" textlink="">
          <xdr:nvSpPr>
            <xdr:cNvPr id="108625" name="Check Box 3153" hidden="1">
              <a:extLst>
                <a:ext uri="{63B3BB69-23CF-44E3-9099-C40C66FF867C}">
                  <a14:compatExt spid="_x0000_s108625"/>
                </a:ext>
                <a:ext uri="{FF2B5EF4-FFF2-40B4-BE49-F238E27FC236}">
                  <a16:creationId xmlns:a16="http://schemas.microsoft.com/office/drawing/2014/main" id="{00000000-0008-0000-0200-00005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114</xdr:row>
          <xdr:rowOff>0</xdr:rowOff>
        </xdr:from>
        <xdr:to>
          <xdr:col>5</xdr:col>
          <xdr:colOff>0</xdr:colOff>
          <xdr:row>115</xdr:row>
          <xdr:rowOff>47625</xdr:rowOff>
        </xdr:to>
        <xdr:sp macro="" textlink="">
          <xdr:nvSpPr>
            <xdr:cNvPr id="108626" name="Check Box 3154" hidden="1">
              <a:extLst>
                <a:ext uri="{63B3BB69-23CF-44E3-9099-C40C66FF867C}">
                  <a14:compatExt spid="_x0000_s108626"/>
                </a:ext>
                <a:ext uri="{FF2B5EF4-FFF2-40B4-BE49-F238E27FC236}">
                  <a16:creationId xmlns:a16="http://schemas.microsoft.com/office/drawing/2014/main" id="{00000000-0008-0000-0200-00005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115</xdr:row>
          <xdr:rowOff>0</xdr:rowOff>
        </xdr:from>
        <xdr:to>
          <xdr:col>5</xdr:col>
          <xdr:colOff>0</xdr:colOff>
          <xdr:row>116</xdr:row>
          <xdr:rowOff>47625</xdr:rowOff>
        </xdr:to>
        <xdr:sp macro="" textlink="">
          <xdr:nvSpPr>
            <xdr:cNvPr id="108627" name="Check Box 3155" hidden="1">
              <a:extLst>
                <a:ext uri="{63B3BB69-23CF-44E3-9099-C40C66FF867C}">
                  <a14:compatExt spid="_x0000_s108627"/>
                </a:ext>
                <a:ext uri="{FF2B5EF4-FFF2-40B4-BE49-F238E27FC236}">
                  <a16:creationId xmlns:a16="http://schemas.microsoft.com/office/drawing/2014/main" id="{00000000-0008-0000-0200-00005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116</xdr:row>
          <xdr:rowOff>0</xdr:rowOff>
        </xdr:from>
        <xdr:to>
          <xdr:col>5</xdr:col>
          <xdr:colOff>0</xdr:colOff>
          <xdr:row>117</xdr:row>
          <xdr:rowOff>47625</xdr:rowOff>
        </xdr:to>
        <xdr:sp macro="" textlink="">
          <xdr:nvSpPr>
            <xdr:cNvPr id="108628" name="Check Box 3156" hidden="1">
              <a:extLst>
                <a:ext uri="{63B3BB69-23CF-44E3-9099-C40C66FF867C}">
                  <a14:compatExt spid="_x0000_s108628"/>
                </a:ext>
                <a:ext uri="{FF2B5EF4-FFF2-40B4-BE49-F238E27FC236}">
                  <a16:creationId xmlns:a16="http://schemas.microsoft.com/office/drawing/2014/main" id="{00000000-0008-0000-0200-00005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117</xdr:row>
          <xdr:rowOff>0</xdr:rowOff>
        </xdr:from>
        <xdr:to>
          <xdr:col>5</xdr:col>
          <xdr:colOff>0</xdr:colOff>
          <xdr:row>118</xdr:row>
          <xdr:rowOff>47625</xdr:rowOff>
        </xdr:to>
        <xdr:sp macro="" textlink="">
          <xdr:nvSpPr>
            <xdr:cNvPr id="108629" name="Check Box 3157" hidden="1">
              <a:extLst>
                <a:ext uri="{63B3BB69-23CF-44E3-9099-C40C66FF867C}">
                  <a14:compatExt spid="_x0000_s108629"/>
                </a:ext>
                <a:ext uri="{FF2B5EF4-FFF2-40B4-BE49-F238E27FC236}">
                  <a16:creationId xmlns:a16="http://schemas.microsoft.com/office/drawing/2014/main" id="{00000000-0008-0000-0200-00005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118</xdr:row>
          <xdr:rowOff>0</xdr:rowOff>
        </xdr:from>
        <xdr:to>
          <xdr:col>5</xdr:col>
          <xdr:colOff>0</xdr:colOff>
          <xdr:row>119</xdr:row>
          <xdr:rowOff>47625</xdr:rowOff>
        </xdr:to>
        <xdr:sp macro="" textlink="">
          <xdr:nvSpPr>
            <xdr:cNvPr id="108630" name="Check Box 3158" hidden="1">
              <a:extLst>
                <a:ext uri="{63B3BB69-23CF-44E3-9099-C40C66FF867C}">
                  <a14:compatExt spid="_x0000_s108630"/>
                </a:ext>
                <a:ext uri="{FF2B5EF4-FFF2-40B4-BE49-F238E27FC236}">
                  <a16:creationId xmlns:a16="http://schemas.microsoft.com/office/drawing/2014/main" id="{00000000-0008-0000-0200-00005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119</xdr:row>
          <xdr:rowOff>0</xdr:rowOff>
        </xdr:from>
        <xdr:to>
          <xdr:col>5</xdr:col>
          <xdr:colOff>0</xdr:colOff>
          <xdr:row>120</xdr:row>
          <xdr:rowOff>47625</xdr:rowOff>
        </xdr:to>
        <xdr:sp macro="" textlink="">
          <xdr:nvSpPr>
            <xdr:cNvPr id="108631" name="Check Box 3159" hidden="1">
              <a:extLst>
                <a:ext uri="{63B3BB69-23CF-44E3-9099-C40C66FF867C}">
                  <a14:compatExt spid="_x0000_s108631"/>
                </a:ext>
                <a:ext uri="{FF2B5EF4-FFF2-40B4-BE49-F238E27FC236}">
                  <a16:creationId xmlns:a16="http://schemas.microsoft.com/office/drawing/2014/main" id="{00000000-0008-0000-0200-00005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120</xdr:row>
          <xdr:rowOff>0</xdr:rowOff>
        </xdr:from>
        <xdr:to>
          <xdr:col>5</xdr:col>
          <xdr:colOff>0</xdr:colOff>
          <xdr:row>121</xdr:row>
          <xdr:rowOff>47625</xdr:rowOff>
        </xdr:to>
        <xdr:sp macro="" textlink="">
          <xdr:nvSpPr>
            <xdr:cNvPr id="108632" name="Check Box 3160" hidden="1">
              <a:extLst>
                <a:ext uri="{63B3BB69-23CF-44E3-9099-C40C66FF867C}">
                  <a14:compatExt spid="_x0000_s108632"/>
                </a:ext>
                <a:ext uri="{FF2B5EF4-FFF2-40B4-BE49-F238E27FC236}">
                  <a16:creationId xmlns:a16="http://schemas.microsoft.com/office/drawing/2014/main" id="{00000000-0008-0000-0200-00005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121</xdr:row>
          <xdr:rowOff>0</xdr:rowOff>
        </xdr:from>
        <xdr:to>
          <xdr:col>5</xdr:col>
          <xdr:colOff>0</xdr:colOff>
          <xdr:row>122</xdr:row>
          <xdr:rowOff>47625</xdr:rowOff>
        </xdr:to>
        <xdr:sp macro="" textlink="">
          <xdr:nvSpPr>
            <xdr:cNvPr id="108633" name="Check Box 3161" hidden="1">
              <a:extLst>
                <a:ext uri="{63B3BB69-23CF-44E3-9099-C40C66FF867C}">
                  <a14:compatExt spid="_x0000_s108633"/>
                </a:ext>
                <a:ext uri="{FF2B5EF4-FFF2-40B4-BE49-F238E27FC236}">
                  <a16:creationId xmlns:a16="http://schemas.microsoft.com/office/drawing/2014/main" id="{00000000-0008-0000-0200-00005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122</xdr:row>
          <xdr:rowOff>0</xdr:rowOff>
        </xdr:from>
        <xdr:to>
          <xdr:col>5</xdr:col>
          <xdr:colOff>0</xdr:colOff>
          <xdr:row>123</xdr:row>
          <xdr:rowOff>47625</xdr:rowOff>
        </xdr:to>
        <xdr:sp macro="" textlink="">
          <xdr:nvSpPr>
            <xdr:cNvPr id="108634" name="Check Box 3162" hidden="1">
              <a:extLst>
                <a:ext uri="{63B3BB69-23CF-44E3-9099-C40C66FF867C}">
                  <a14:compatExt spid="_x0000_s108634"/>
                </a:ext>
                <a:ext uri="{FF2B5EF4-FFF2-40B4-BE49-F238E27FC236}">
                  <a16:creationId xmlns:a16="http://schemas.microsoft.com/office/drawing/2014/main" id="{00000000-0008-0000-0200-00005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123</xdr:row>
          <xdr:rowOff>0</xdr:rowOff>
        </xdr:from>
        <xdr:to>
          <xdr:col>5</xdr:col>
          <xdr:colOff>0</xdr:colOff>
          <xdr:row>124</xdr:row>
          <xdr:rowOff>47625</xdr:rowOff>
        </xdr:to>
        <xdr:sp macro="" textlink="">
          <xdr:nvSpPr>
            <xdr:cNvPr id="108635" name="Check Box 3163" hidden="1">
              <a:extLst>
                <a:ext uri="{63B3BB69-23CF-44E3-9099-C40C66FF867C}">
                  <a14:compatExt spid="_x0000_s108635"/>
                </a:ext>
                <a:ext uri="{FF2B5EF4-FFF2-40B4-BE49-F238E27FC236}">
                  <a16:creationId xmlns:a16="http://schemas.microsoft.com/office/drawing/2014/main" id="{00000000-0008-0000-0200-00005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124</xdr:row>
          <xdr:rowOff>0</xdr:rowOff>
        </xdr:from>
        <xdr:to>
          <xdr:col>5</xdr:col>
          <xdr:colOff>0</xdr:colOff>
          <xdr:row>125</xdr:row>
          <xdr:rowOff>47625</xdr:rowOff>
        </xdr:to>
        <xdr:sp macro="" textlink="">
          <xdr:nvSpPr>
            <xdr:cNvPr id="108636" name="Check Box 3164" hidden="1">
              <a:extLst>
                <a:ext uri="{63B3BB69-23CF-44E3-9099-C40C66FF867C}">
                  <a14:compatExt spid="_x0000_s108636"/>
                </a:ext>
                <a:ext uri="{FF2B5EF4-FFF2-40B4-BE49-F238E27FC236}">
                  <a16:creationId xmlns:a16="http://schemas.microsoft.com/office/drawing/2014/main" id="{00000000-0008-0000-0200-00005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125</xdr:row>
          <xdr:rowOff>0</xdr:rowOff>
        </xdr:from>
        <xdr:to>
          <xdr:col>5</xdr:col>
          <xdr:colOff>0</xdr:colOff>
          <xdr:row>126</xdr:row>
          <xdr:rowOff>47625</xdr:rowOff>
        </xdr:to>
        <xdr:sp macro="" textlink="">
          <xdr:nvSpPr>
            <xdr:cNvPr id="108637" name="Check Box 3165" hidden="1">
              <a:extLst>
                <a:ext uri="{63B3BB69-23CF-44E3-9099-C40C66FF867C}">
                  <a14:compatExt spid="_x0000_s108637"/>
                </a:ext>
                <a:ext uri="{FF2B5EF4-FFF2-40B4-BE49-F238E27FC236}">
                  <a16:creationId xmlns:a16="http://schemas.microsoft.com/office/drawing/2014/main" id="{00000000-0008-0000-0200-00005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126</xdr:row>
          <xdr:rowOff>0</xdr:rowOff>
        </xdr:from>
        <xdr:to>
          <xdr:col>5</xdr:col>
          <xdr:colOff>0</xdr:colOff>
          <xdr:row>127</xdr:row>
          <xdr:rowOff>47625</xdr:rowOff>
        </xdr:to>
        <xdr:sp macro="" textlink="">
          <xdr:nvSpPr>
            <xdr:cNvPr id="108638" name="Check Box 3166" hidden="1">
              <a:extLst>
                <a:ext uri="{63B3BB69-23CF-44E3-9099-C40C66FF867C}">
                  <a14:compatExt spid="_x0000_s108638"/>
                </a:ext>
                <a:ext uri="{FF2B5EF4-FFF2-40B4-BE49-F238E27FC236}">
                  <a16:creationId xmlns:a16="http://schemas.microsoft.com/office/drawing/2014/main" id="{00000000-0008-0000-0200-00005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127</xdr:row>
          <xdr:rowOff>0</xdr:rowOff>
        </xdr:from>
        <xdr:to>
          <xdr:col>5</xdr:col>
          <xdr:colOff>0</xdr:colOff>
          <xdr:row>128</xdr:row>
          <xdr:rowOff>47625</xdr:rowOff>
        </xdr:to>
        <xdr:sp macro="" textlink="">
          <xdr:nvSpPr>
            <xdr:cNvPr id="108639" name="Check Box 3167" hidden="1">
              <a:extLst>
                <a:ext uri="{63B3BB69-23CF-44E3-9099-C40C66FF867C}">
                  <a14:compatExt spid="_x0000_s108639"/>
                </a:ext>
                <a:ext uri="{FF2B5EF4-FFF2-40B4-BE49-F238E27FC236}">
                  <a16:creationId xmlns:a16="http://schemas.microsoft.com/office/drawing/2014/main" id="{00000000-0008-0000-0200-00005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128</xdr:row>
          <xdr:rowOff>0</xdr:rowOff>
        </xdr:from>
        <xdr:to>
          <xdr:col>5</xdr:col>
          <xdr:colOff>0</xdr:colOff>
          <xdr:row>129</xdr:row>
          <xdr:rowOff>47625</xdr:rowOff>
        </xdr:to>
        <xdr:sp macro="" textlink="">
          <xdr:nvSpPr>
            <xdr:cNvPr id="108640" name="Check Box 3168" hidden="1">
              <a:extLst>
                <a:ext uri="{63B3BB69-23CF-44E3-9099-C40C66FF867C}">
                  <a14:compatExt spid="_x0000_s108640"/>
                </a:ext>
                <a:ext uri="{FF2B5EF4-FFF2-40B4-BE49-F238E27FC236}">
                  <a16:creationId xmlns:a16="http://schemas.microsoft.com/office/drawing/2014/main" id="{00000000-0008-0000-0200-00006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129</xdr:row>
          <xdr:rowOff>0</xdr:rowOff>
        </xdr:from>
        <xdr:to>
          <xdr:col>5</xdr:col>
          <xdr:colOff>0</xdr:colOff>
          <xdr:row>130</xdr:row>
          <xdr:rowOff>47625</xdr:rowOff>
        </xdr:to>
        <xdr:sp macro="" textlink="">
          <xdr:nvSpPr>
            <xdr:cNvPr id="108641" name="Check Box 3169" hidden="1">
              <a:extLst>
                <a:ext uri="{63B3BB69-23CF-44E3-9099-C40C66FF867C}">
                  <a14:compatExt spid="_x0000_s108641"/>
                </a:ext>
                <a:ext uri="{FF2B5EF4-FFF2-40B4-BE49-F238E27FC236}">
                  <a16:creationId xmlns:a16="http://schemas.microsoft.com/office/drawing/2014/main" id="{00000000-0008-0000-0200-00006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130</xdr:row>
          <xdr:rowOff>0</xdr:rowOff>
        </xdr:from>
        <xdr:to>
          <xdr:col>5</xdr:col>
          <xdr:colOff>0</xdr:colOff>
          <xdr:row>131</xdr:row>
          <xdr:rowOff>47625</xdr:rowOff>
        </xdr:to>
        <xdr:sp macro="" textlink="">
          <xdr:nvSpPr>
            <xdr:cNvPr id="108642" name="Check Box 3170" hidden="1">
              <a:extLst>
                <a:ext uri="{63B3BB69-23CF-44E3-9099-C40C66FF867C}">
                  <a14:compatExt spid="_x0000_s108642"/>
                </a:ext>
                <a:ext uri="{FF2B5EF4-FFF2-40B4-BE49-F238E27FC236}">
                  <a16:creationId xmlns:a16="http://schemas.microsoft.com/office/drawing/2014/main" id="{00000000-0008-0000-0200-00006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131</xdr:row>
          <xdr:rowOff>0</xdr:rowOff>
        </xdr:from>
        <xdr:to>
          <xdr:col>5</xdr:col>
          <xdr:colOff>0</xdr:colOff>
          <xdr:row>132</xdr:row>
          <xdr:rowOff>47625</xdr:rowOff>
        </xdr:to>
        <xdr:sp macro="" textlink="">
          <xdr:nvSpPr>
            <xdr:cNvPr id="108643" name="Check Box 3171" hidden="1">
              <a:extLst>
                <a:ext uri="{63B3BB69-23CF-44E3-9099-C40C66FF867C}">
                  <a14:compatExt spid="_x0000_s108643"/>
                </a:ext>
                <a:ext uri="{FF2B5EF4-FFF2-40B4-BE49-F238E27FC236}">
                  <a16:creationId xmlns:a16="http://schemas.microsoft.com/office/drawing/2014/main" id="{00000000-0008-0000-0200-00006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132</xdr:row>
          <xdr:rowOff>0</xdr:rowOff>
        </xdr:from>
        <xdr:to>
          <xdr:col>5</xdr:col>
          <xdr:colOff>0</xdr:colOff>
          <xdr:row>133</xdr:row>
          <xdr:rowOff>47625</xdr:rowOff>
        </xdr:to>
        <xdr:sp macro="" textlink="">
          <xdr:nvSpPr>
            <xdr:cNvPr id="108644" name="Check Box 3172" hidden="1">
              <a:extLst>
                <a:ext uri="{63B3BB69-23CF-44E3-9099-C40C66FF867C}">
                  <a14:compatExt spid="_x0000_s108644"/>
                </a:ext>
                <a:ext uri="{FF2B5EF4-FFF2-40B4-BE49-F238E27FC236}">
                  <a16:creationId xmlns:a16="http://schemas.microsoft.com/office/drawing/2014/main" id="{00000000-0008-0000-0200-00006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133</xdr:row>
          <xdr:rowOff>0</xdr:rowOff>
        </xdr:from>
        <xdr:to>
          <xdr:col>5</xdr:col>
          <xdr:colOff>0</xdr:colOff>
          <xdr:row>134</xdr:row>
          <xdr:rowOff>47625</xdr:rowOff>
        </xdr:to>
        <xdr:sp macro="" textlink="">
          <xdr:nvSpPr>
            <xdr:cNvPr id="108645" name="Check Box 3173" hidden="1">
              <a:extLst>
                <a:ext uri="{63B3BB69-23CF-44E3-9099-C40C66FF867C}">
                  <a14:compatExt spid="_x0000_s108645"/>
                </a:ext>
                <a:ext uri="{FF2B5EF4-FFF2-40B4-BE49-F238E27FC236}">
                  <a16:creationId xmlns:a16="http://schemas.microsoft.com/office/drawing/2014/main" id="{00000000-0008-0000-0200-00006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134</xdr:row>
          <xdr:rowOff>0</xdr:rowOff>
        </xdr:from>
        <xdr:to>
          <xdr:col>5</xdr:col>
          <xdr:colOff>0</xdr:colOff>
          <xdr:row>135</xdr:row>
          <xdr:rowOff>47625</xdr:rowOff>
        </xdr:to>
        <xdr:sp macro="" textlink="">
          <xdr:nvSpPr>
            <xdr:cNvPr id="108646" name="Check Box 3174" hidden="1">
              <a:extLst>
                <a:ext uri="{63B3BB69-23CF-44E3-9099-C40C66FF867C}">
                  <a14:compatExt spid="_x0000_s108646"/>
                </a:ext>
                <a:ext uri="{FF2B5EF4-FFF2-40B4-BE49-F238E27FC236}">
                  <a16:creationId xmlns:a16="http://schemas.microsoft.com/office/drawing/2014/main" id="{00000000-0008-0000-0200-00006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135</xdr:row>
          <xdr:rowOff>0</xdr:rowOff>
        </xdr:from>
        <xdr:to>
          <xdr:col>5</xdr:col>
          <xdr:colOff>0</xdr:colOff>
          <xdr:row>136</xdr:row>
          <xdr:rowOff>47625</xdr:rowOff>
        </xdr:to>
        <xdr:sp macro="" textlink="">
          <xdr:nvSpPr>
            <xdr:cNvPr id="108647" name="Check Box 3175" hidden="1">
              <a:extLst>
                <a:ext uri="{63B3BB69-23CF-44E3-9099-C40C66FF867C}">
                  <a14:compatExt spid="_x0000_s108647"/>
                </a:ext>
                <a:ext uri="{FF2B5EF4-FFF2-40B4-BE49-F238E27FC236}">
                  <a16:creationId xmlns:a16="http://schemas.microsoft.com/office/drawing/2014/main" id="{00000000-0008-0000-0200-00006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136</xdr:row>
          <xdr:rowOff>0</xdr:rowOff>
        </xdr:from>
        <xdr:to>
          <xdr:col>5</xdr:col>
          <xdr:colOff>0</xdr:colOff>
          <xdr:row>137</xdr:row>
          <xdr:rowOff>47625</xdr:rowOff>
        </xdr:to>
        <xdr:sp macro="" textlink="">
          <xdr:nvSpPr>
            <xdr:cNvPr id="108648" name="Check Box 3176" hidden="1">
              <a:extLst>
                <a:ext uri="{63B3BB69-23CF-44E3-9099-C40C66FF867C}">
                  <a14:compatExt spid="_x0000_s108648"/>
                </a:ext>
                <a:ext uri="{FF2B5EF4-FFF2-40B4-BE49-F238E27FC236}">
                  <a16:creationId xmlns:a16="http://schemas.microsoft.com/office/drawing/2014/main" id="{00000000-0008-0000-0200-00006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137</xdr:row>
          <xdr:rowOff>0</xdr:rowOff>
        </xdr:from>
        <xdr:to>
          <xdr:col>5</xdr:col>
          <xdr:colOff>0</xdr:colOff>
          <xdr:row>138</xdr:row>
          <xdr:rowOff>47625</xdr:rowOff>
        </xdr:to>
        <xdr:sp macro="" textlink="">
          <xdr:nvSpPr>
            <xdr:cNvPr id="108649" name="Check Box 3177" hidden="1">
              <a:extLst>
                <a:ext uri="{63B3BB69-23CF-44E3-9099-C40C66FF867C}">
                  <a14:compatExt spid="_x0000_s108649"/>
                </a:ext>
                <a:ext uri="{FF2B5EF4-FFF2-40B4-BE49-F238E27FC236}">
                  <a16:creationId xmlns:a16="http://schemas.microsoft.com/office/drawing/2014/main" id="{00000000-0008-0000-0200-00006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138</xdr:row>
          <xdr:rowOff>0</xdr:rowOff>
        </xdr:from>
        <xdr:to>
          <xdr:col>5</xdr:col>
          <xdr:colOff>0</xdr:colOff>
          <xdr:row>139</xdr:row>
          <xdr:rowOff>47625</xdr:rowOff>
        </xdr:to>
        <xdr:sp macro="" textlink="">
          <xdr:nvSpPr>
            <xdr:cNvPr id="108650" name="Check Box 3178" hidden="1">
              <a:extLst>
                <a:ext uri="{63B3BB69-23CF-44E3-9099-C40C66FF867C}">
                  <a14:compatExt spid="_x0000_s108650"/>
                </a:ext>
                <a:ext uri="{FF2B5EF4-FFF2-40B4-BE49-F238E27FC236}">
                  <a16:creationId xmlns:a16="http://schemas.microsoft.com/office/drawing/2014/main" id="{00000000-0008-0000-0200-00006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139</xdr:row>
          <xdr:rowOff>0</xdr:rowOff>
        </xdr:from>
        <xdr:to>
          <xdr:col>5</xdr:col>
          <xdr:colOff>0</xdr:colOff>
          <xdr:row>140</xdr:row>
          <xdr:rowOff>47625</xdr:rowOff>
        </xdr:to>
        <xdr:sp macro="" textlink="">
          <xdr:nvSpPr>
            <xdr:cNvPr id="108651" name="Check Box 3179" hidden="1">
              <a:extLst>
                <a:ext uri="{63B3BB69-23CF-44E3-9099-C40C66FF867C}">
                  <a14:compatExt spid="_x0000_s108651"/>
                </a:ext>
                <a:ext uri="{FF2B5EF4-FFF2-40B4-BE49-F238E27FC236}">
                  <a16:creationId xmlns:a16="http://schemas.microsoft.com/office/drawing/2014/main" id="{00000000-0008-0000-0200-00006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140</xdr:row>
          <xdr:rowOff>0</xdr:rowOff>
        </xdr:from>
        <xdr:to>
          <xdr:col>5</xdr:col>
          <xdr:colOff>0</xdr:colOff>
          <xdr:row>141</xdr:row>
          <xdr:rowOff>47625</xdr:rowOff>
        </xdr:to>
        <xdr:sp macro="" textlink="">
          <xdr:nvSpPr>
            <xdr:cNvPr id="108652" name="Check Box 3180" hidden="1">
              <a:extLst>
                <a:ext uri="{63B3BB69-23CF-44E3-9099-C40C66FF867C}">
                  <a14:compatExt spid="_x0000_s108652"/>
                </a:ext>
                <a:ext uri="{FF2B5EF4-FFF2-40B4-BE49-F238E27FC236}">
                  <a16:creationId xmlns:a16="http://schemas.microsoft.com/office/drawing/2014/main" id="{00000000-0008-0000-0200-00006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141</xdr:row>
          <xdr:rowOff>0</xdr:rowOff>
        </xdr:from>
        <xdr:to>
          <xdr:col>5</xdr:col>
          <xdr:colOff>0</xdr:colOff>
          <xdr:row>142</xdr:row>
          <xdr:rowOff>47625</xdr:rowOff>
        </xdr:to>
        <xdr:sp macro="" textlink="">
          <xdr:nvSpPr>
            <xdr:cNvPr id="108653" name="Check Box 3181" hidden="1">
              <a:extLst>
                <a:ext uri="{63B3BB69-23CF-44E3-9099-C40C66FF867C}">
                  <a14:compatExt spid="_x0000_s108653"/>
                </a:ext>
                <a:ext uri="{FF2B5EF4-FFF2-40B4-BE49-F238E27FC236}">
                  <a16:creationId xmlns:a16="http://schemas.microsoft.com/office/drawing/2014/main" id="{00000000-0008-0000-0200-00006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142</xdr:row>
          <xdr:rowOff>0</xdr:rowOff>
        </xdr:from>
        <xdr:to>
          <xdr:col>5</xdr:col>
          <xdr:colOff>0</xdr:colOff>
          <xdr:row>143</xdr:row>
          <xdr:rowOff>47625</xdr:rowOff>
        </xdr:to>
        <xdr:sp macro="" textlink="">
          <xdr:nvSpPr>
            <xdr:cNvPr id="108654" name="Check Box 3182" hidden="1">
              <a:extLst>
                <a:ext uri="{63B3BB69-23CF-44E3-9099-C40C66FF867C}">
                  <a14:compatExt spid="_x0000_s108654"/>
                </a:ext>
                <a:ext uri="{FF2B5EF4-FFF2-40B4-BE49-F238E27FC236}">
                  <a16:creationId xmlns:a16="http://schemas.microsoft.com/office/drawing/2014/main" id="{00000000-0008-0000-0200-00006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143</xdr:row>
          <xdr:rowOff>0</xdr:rowOff>
        </xdr:from>
        <xdr:to>
          <xdr:col>5</xdr:col>
          <xdr:colOff>0</xdr:colOff>
          <xdr:row>144</xdr:row>
          <xdr:rowOff>47625</xdr:rowOff>
        </xdr:to>
        <xdr:sp macro="" textlink="">
          <xdr:nvSpPr>
            <xdr:cNvPr id="108655" name="Check Box 3183" hidden="1">
              <a:extLst>
                <a:ext uri="{63B3BB69-23CF-44E3-9099-C40C66FF867C}">
                  <a14:compatExt spid="_x0000_s108655"/>
                </a:ext>
                <a:ext uri="{FF2B5EF4-FFF2-40B4-BE49-F238E27FC236}">
                  <a16:creationId xmlns:a16="http://schemas.microsoft.com/office/drawing/2014/main" id="{00000000-0008-0000-0200-00006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144</xdr:row>
          <xdr:rowOff>0</xdr:rowOff>
        </xdr:from>
        <xdr:to>
          <xdr:col>5</xdr:col>
          <xdr:colOff>0</xdr:colOff>
          <xdr:row>145</xdr:row>
          <xdr:rowOff>47625</xdr:rowOff>
        </xdr:to>
        <xdr:sp macro="" textlink="">
          <xdr:nvSpPr>
            <xdr:cNvPr id="108656" name="Check Box 3184" hidden="1">
              <a:extLst>
                <a:ext uri="{63B3BB69-23CF-44E3-9099-C40C66FF867C}">
                  <a14:compatExt spid="_x0000_s108656"/>
                </a:ext>
                <a:ext uri="{FF2B5EF4-FFF2-40B4-BE49-F238E27FC236}">
                  <a16:creationId xmlns:a16="http://schemas.microsoft.com/office/drawing/2014/main" id="{00000000-0008-0000-0200-00007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145</xdr:row>
          <xdr:rowOff>0</xdr:rowOff>
        </xdr:from>
        <xdr:to>
          <xdr:col>5</xdr:col>
          <xdr:colOff>0</xdr:colOff>
          <xdr:row>146</xdr:row>
          <xdr:rowOff>47625</xdr:rowOff>
        </xdr:to>
        <xdr:sp macro="" textlink="">
          <xdr:nvSpPr>
            <xdr:cNvPr id="108657" name="Check Box 3185" hidden="1">
              <a:extLst>
                <a:ext uri="{63B3BB69-23CF-44E3-9099-C40C66FF867C}">
                  <a14:compatExt spid="_x0000_s108657"/>
                </a:ext>
                <a:ext uri="{FF2B5EF4-FFF2-40B4-BE49-F238E27FC236}">
                  <a16:creationId xmlns:a16="http://schemas.microsoft.com/office/drawing/2014/main" id="{00000000-0008-0000-0200-00007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146</xdr:row>
          <xdr:rowOff>0</xdr:rowOff>
        </xdr:from>
        <xdr:to>
          <xdr:col>5</xdr:col>
          <xdr:colOff>0</xdr:colOff>
          <xdr:row>147</xdr:row>
          <xdr:rowOff>47625</xdr:rowOff>
        </xdr:to>
        <xdr:sp macro="" textlink="">
          <xdr:nvSpPr>
            <xdr:cNvPr id="108658" name="Check Box 3186" hidden="1">
              <a:extLst>
                <a:ext uri="{63B3BB69-23CF-44E3-9099-C40C66FF867C}">
                  <a14:compatExt spid="_x0000_s108658"/>
                </a:ext>
                <a:ext uri="{FF2B5EF4-FFF2-40B4-BE49-F238E27FC236}">
                  <a16:creationId xmlns:a16="http://schemas.microsoft.com/office/drawing/2014/main" id="{00000000-0008-0000-0200-00007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147</xdr:row>
          <xdr:rowOff>0</xdr:rowOff>
        </xdr:from>
        <xdr:to>
          <xdr:col>5</xdr:col>
          <xdr:colOff>0</xdr:colOff>
          <xdr:row>148</xdr:row>
          <xdr:rowOff>47625</xdr:rowOff>
        </xdr:to>
        <xdr:sp macro="" textlink="">
          <xdr:nvSpPr>
            <xdr:cNvPr id="108659" name="Check Box 3187" hidden="1">
              <a:extLst>
                <a:ext uri="{63B3BB69-23CF-44E3-9099-C40C66FF867C}">
                  <a14:compatExt spid="_x0000_s108659"/>
                </a:ext>
                <a:ext uri="{FF2B5EF4-FFF2-40B4-BE49-F238E27FC236}">
                  <a16:creationId xmlns:a16="http://schemas.microsoft.com/office/drawing/2014/main" id="{00000000-0008-0000-0200-00007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148</xdr:row>
          <xdr:rowOff>0</xdr:rowOff>
        </xdr:from>
        <xdr:to>
          <xdr:col>5</xdr:col>
          <xdr:colOff>0</xdr:colOff>
          <xdr:row>149</xdr:row>
          <xdr:rowOff>47625</xdr:rowOff>
        </xdr:to>
        <xdr:sp macro="" textlink="">
          <xdr:nvSpPr>
            <xdr:cNvPr id="108660" name="Check Box 3188" hidden="1">
              <a:extLst>
                <a:ext uri="{63B3BB69-23CF-44E3-9099-C40C66FF867C}">
                  <a14:compatExt spid="_x0000_s108660"/>
                </a:ext>
                <a:ext uri="{FF2B5EF4-FFF2-40B4-BE49-F238E27FC236}">
                  <a16:creationId xmlns:a16="http://schemas.microsoft.com/office/drawing/2014/main" id="{00000000-0008-0000-0200-00007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149</xdr:row>
          <xdr:rowOff>0</xdr:rowOff>
        </xdr:from>
        <xdr:to>
          <xdr:col>5</xdr:col>
          <xdr:colOff>0</xdr:colOff>
          <xdr:row>150</xdr:row>
          <xdr:rowOff>47625</xdr:rowOff>
        </xdr:to>
        <xdr:sp macro="" textlink="">
          <xdr:nvSpPr>
            <xdr:cNvPr id="108661" name="Check Box 3189" hidden="1">
              <a:extLst>
                <a:ext uri="{63B3BB69-23CF-44E3-9099-C40C66FF867C}">
                  <a14:compatExt spid="_x0000_s108661"/>
                </a:ext>
                <a:ext uri="{FF2B5EF4-FFF2-40B4-BE49-F238E27FC236}">
                  <a16:creationId xmlns:a16="http://schemas.microsoft.com/office/drawing/2014/main" id="{00000000-0008-0000-0200-00007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150</xdr:row>
          <xdr:rowOff>0</xdr:rowOff>
        </xdr:from>
        <xdr:to>
          <xdr:col>5</xdr:col>
          <xdr:colOff>0</xdr:colOff>
          <xdr:row>151</xdr:row>
          <xdr:rowOff>47625</xdr:rowOff>
        </xdr:to>
        <xdr:sp macro="" textlink="">
          <xdr:nvSpPr>
            <xdr:cNvPr id="108662" name="Check Box 3190" hidden="1">
              <a:extLst>
                <a:ext uri="{63B3BB69-23CF-44E3-9099-C40C66FF867C}">
                  <a14:compatExt spid="_x0000_s108662"/>
                </a:ext>
                <a:ext uri="{FF2B5EF4-FFF2-40B4-BE49-F238E27FC236}">
                  <a16:creationId xmlns:a16="http://schemas.microsoft.com/office/drawing/2014/main" id="{00000000-0008-0000-0200-00007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151</xdr:row>
          <xdr:rowOff>0</xdr:rowOff>
        </xdr:from>
        <xdr:to>
          <xdr:col>5</xdr:col>
          <xdr:colOff>0</xdr:colOff>
          <xdr:row>152</xdr:row>
          <xdr:rowOff>47625</xdr:rowOff>
        </xdr:to>
        <xdr:sp macro="" textlink="">
          <xdr:nvSpPr>
            <xdr:cNvPr id="108663" name="Check Box 3191" hidden="1">
              <a:extLst>
                <a:ext uri="{63B3BB69-23CF-44E3-9099-C40C66FF867C}">
                  <a14:compatExt spid="_x0000_s108663"/>
                </a:ext>
                <a:ext uri="{FF2B5EF4-FFF2-40B4-BE49-F238E27FC236}">
                  <a16:creationId xmlns:a16="http://schemas.microsoft.com/office/drawing/2014/main" id="{00000000-0008-0000-0200-00007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152</xdr:row>
          <xdr:rowOff>0</xdr:rowOff>
        </xdr:from>
        <xdr:to>
          <xdr:col>5</xdr:col>
          <xdr:colOff>0</xdr:colOff>
          <xdr:row>153</xdr:row>
          <xdr:rowOff>47625</xdr:rowOff>
        </xdr:to>
        <xdr:sp macro="" textlink="">
          <xdr:nvSpPr>
            <xdr:cNvPr id="108664" name="Check Box 3192" hidden="1">
              <a:extLst>
                <a:ext uri="{63B3BB69-23CF-44E3-9099-C40C66FF867C}">
                  <a14:compatExt spid="_x0000_s108664"/>
                </a:ext>
                <a:ext uri="{FF2B5EF4-FFF2-40B4-BE49-F238E27FC236}">
                  <a16:creationId xmlns:a16="http://schemas.microsoft.com/office/drawing/2014/main" id="{00000000-0008-0000-0200-00007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153</xdr:row>
          <xdr:rowOff>0</xdr:rowOff>
        </xdr:from>
        <xdr:to>
          <xdr:col>5</xdr:col>
          <xdr:colOff>0</xdr:colOff>
          <xdr:row>154</xdr:row>
          <xdr:rowOff>47625</xdr:rowOff>
        </xdr:to>
        <xdr:sp macro="" textlink="">
          <xdr:nvSpPr>
            <xdr:cNvPr id="108665" name="Check Box 3193" hidden="1">
              <a:extLst>
                <a:ext uri="{63B3BB69-23CF-44E3-9099-C40C66FF867C}">
                  <a14:compatExt spid="_x0000_s108665"/>
                </a:ext>
                <a:ext uri="{FF2B5EF4-FFF2-40B4-BE49-F238E27FC236}">
                  <a16:creationId xmlns:a16="http://schemas.microsoft.com/office/drawing/2014/main" id="{00000000-0008-0000-0200-00007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154</xdr:row>
          <xdr:rowOff>0</xdr:rowOff>
        </xdr:from>
        <xdr:to>
          <xdr:col>5</xdr:col>
          <xdr:colOff>0</xdr:colOff>
          <xdr:row>155</xdr:row>
          <xdr:rowOff>47625</xdr:rowOff>
        </xdr:to>
        <xdr:sp macro="" textlink="">
          <xdr:nvSpPr>
            <xdr:cNvPr id="108666" name="Check Box 3194" hidden="1">
              <a:extLst>
                <a:ext uri="{63B3BB69-23CF-44E3-9099-C40C66FF867C}">
                  <a14:compatExt spid="_x0000_s108666"/>
                </a:ext>
                <a:ext uri="{FF2B5EF4-FFF2-40B4-BE49-F238E27FC236}">
                  <a16:creationId xmlns:a16="http://schemas.microsoft.com/office/drawing/2014/main" id="{00000000-0008-0000-0200-00007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155</xdr:row>
          <xdr:rowOff>0</xdr:rowOff>
        </xdr:from>
        <xdr:to>
          <xdr:col>5</xdr:col>
          <xdr:colOff>0</xdr:colOff>
          <xdr:row>156</xdr:row>
          <xdr:rowOff>47625</xdr:rowOff>
        </xdr:to>
        <xdr:sp macro="" textlink="">
          <xdr:nvSpPr>
            <xdr:cNvPr id="108667" name="Check Box 3195" hidden="1">
              <a:extLst>
                <a:ext uri="{63B3BB69-23CF-44E3-9099-C40C66FF867C}">
                  <a14:compatExt spid="_x0000_s108667"/>
                </a:ext>
                <a:ext uri="{FF2B5EF4-FFF2-40B4-BE49-F238E27FC236}">
                  <a16:creationId xmlns:a16="http://schemas.microsoft.com/office/drawing/2014/main" id="{00000000-0008-0000-0200-00007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156</xdr:row>
          <xdr:rowOff>0</xdr:rowOff>
        </xdr:from>
        <xdr:to>
          <xdr:col>5</xdr:col>
          <xdr:colOff>0</xdr:colOff>
          <xdr:row>157</xdr:row>
          <xdr:rowOff>47625</xdr:rowOff>
        </xdr:to>
        <xdr:sp macro="" textlink="">
          <xdr:nvSpPr>
            <xdr:cNvPr id="108668" name="Check Box 3196" hidden="1">
              <a:extLst>
                <a:ext uri="{63B3BB69-23CF-44E3-9099-C40C66FF867C}">
                  <a14:compatExt spid="_x0000_s108668"/>
                </a:ext>
                <a:ext uri="{FF2B5EF4-FFF2-40B4-BE49-F238E27FC236}">
                  <a16:creationId xmlns:a16="http://schemas.microsoft.com/office/drawing/2014/main" id="{00000000-0008-0000-0200-00007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157</xdr:row>
          <xdr:rowOff>0</xdr:rowOff>
        </xdr:from>
        <xdr:to>
          <xdr:col>5</xdr:col>
          <xdr:colOff>0</xdr:colOff>
          <xdr:row>158</xdr:row>
          <xdr:rowOff>47625</xdr:rowOff>
        </xdr:to>
        <xdr:sp macro="" textlink="">
          <xdr:nvSpPr>
            <xdr:cNvPr id="108669" name="Check Box 3197" hidden="1">
              <a:extLst>
                <a:ext uri="{63B3BB69-23CF-44E3-9099-C40C66FF867C}">
                  <a14:compatExt spid="_x0000_s108669"/>
                </a:ext>
                <a:ext uri="{FF2B5EF4-FFF2-40B4-BE49-F238E27FC236}">
                  <a16:creationId xmlns:a16="http://schemas.microsoft.com/office/drawing/2014/main" id="{00000000-0008-0000-0200-00007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158</xdr:row>
          <xdr:rowOff>0</xdr:rowOff>
        </xdr:from>
        <xdr:to>
          <xdr:col>5</xdr:col>
          <xdr:colOff>0</xdr:colOff>
          <xdr:row>159</xdr:row>
          <xdr:rowOff>47625</xdr:rowOff>
        </xdr:to>
        <xdr:sp macro="" textlink="">
          <xdr:nvSpPr>
            <xdr:cNvPr id="108670" name="Check Box 3198" hidden="1">
              <a:extLst>
                <a:ext uri="{63B3BB69-23CF-44E3-9099-C40C66FF867C}">
                  <a14:compatExt spid="_x0000_s108670"/>
                </a:ext>
                <a:ext uri="{FF2B5EF4-FFF2-40B4-BE49-F238E27FC236}">
                  <a16:creationId xmlns:a16="http://schemas.microsoft.com/office/drawing/2014/main" id="{00000000-0008-0000-0200-00007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159</xdr:row>
          <xdr:rowOff>0</xdr:rowOff>
        </xdr:from>
        <xdr:to>
          <xdr:col>5</xdr:col>
          <xdr:colOff>0</xdr:colOff>
          <xdr:row>160</xdr:row>
          <xdr:rowOff>47625</xdr:rowOff>
        </xdr:to>
        <xdr:sp macro="" textlink="">
          <xdr:nvSpPr>
            <xdr:cNvPr id="108671" name="Check Box 3199" hidden="1">
              <a:extLst>
                <a:ext uri="{63B3BB69-23CF-44E3-9099-C40C66FF867C}">
                  <a14:compatExt spid="_x0000_s108671"/>
                </a:ext>
                <a:ext uri="{FF2B5EF4-FFF2-40B4-BE49-F238E27FC236}">
                  <a16:creationId xmlns:a16="http://schemas.microsoft.com/office/drawing/2014/main" id="{00000000-0008-0000-0200-00007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160</xdr:row>
          <xdr:rowOff>0</xdr:rowOff>
        </xdr:from>
        <xdr:to>
          <xdr:col>5</xdr:col>
          <xdr:colOff>0</xdr:colOff>
          <xdr:row>161</xdr:row>
          <xdr:rowOff>47625</xdr:rowOff>
        </xdr:to>
        <xdr:sp macro="" textlink="">
          <xdr:nvSpPr>
            <xdr:cNvPr id="108672" name="Check Box 3200" hidden="1">
              <a:extLst>
                <a:ext uri="{63B3BB69-23CF-44E3-9099-C40C66FF867C}">
                  <a14:compatExt spid="_x0000_s108672"/>
                </a:ext>
                <a:ext uri="{FF2B5EF4-FFF2-40B4-BE49-F238E27FC236}">
                  <a16:creationId xmlns:a16="http://schemas.microsoft.com/office/drawing/2014/main" id="{00000000-0008-0000-0200-00008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161</xdr:row>
          <xdr:rowOff>0</xdr:rowOff>
        </xdr:from>
        <xdr:to>
          <xdr:col>5</xdr:col>
          <xdr:colOff>0</xdr:colOff>
          <xdr:row>162</xdr:row>
          <xdr:rowOff>47625</xdr:rowOff>
        </xdr:to>
        <xdr:sp macro="" textlink="">
          <xdr:nvSpPr>
            <xdr:cNvPr id="108673" name="Check Box 3201" hidden="1">
              <a:extLst>
                <a:ext uri="{63B3BB69-23CF-44E3-9099-C40C66FF867C}">
                  <a14:compatExt spid="_x0000_s108673"/>
                </a:ext>
                <a:ext uri="{FF2B5EF4-FFF2-40B4-BE49-F238E27FC236}">
                  <a16:creationId xmlns:a16="http://schemas.microsoft.com/office/drawing/2014/main" id="{00000000-0008-0000-0200-00008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162</xdr:row>
          <xdr:rowOff>0</xdr:rowOff>
        </xdr:from>
        <xdr:to>
          <xdr:col>5</xdr:col>
          <xdr:colOff>0</xdr:colOff>
          <xdr:row>163</xdr:row>
          <xdr:rowOff>47625</xdr:rowOff>
        </xdr:to>
        <xdr:sp macro="" textlink="">
          <xdr:nvSpPr>
            <xdr:cNvPr id="108674" name="Check Box 3202" hidden="1">
              <a:extLst>
                <a:ext uri="{63B3BB69-23CF-44E3-9099-C40C66FF867C}">
                  <a14:compatExt spid="_x0000_s108674"/>
                </a:ext>
                <a:ext uri="{FF2B5EF4-FFF2-40B4-BE49-F238E27FC236}">
                  <a16:creationId xmlns:a16="http://schemas.microsoft.com/office/drawing/2014/main" id="{00000000-0008-0000-0200-00008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163</xdr:row>
          <xdr:rowOff>0</xdr:rowOff>
        </xdr:from>
        <xdr:to>
          <xdr:col>5</xdr:col>
          <xdr:colOff>0</xdr:colOff>
          <xdr:row>164</xdr:row>
          <xdr:rowOff>47625</xdr:rowOff>
        </xdr:to>
        <xdr:sp macro="" textlink="">
          <xdr:nvSpPr>
            <xdr:cNvPr id="108675" name="Check Box 3203" hidden="1">
              <a:extLst>
                <a:ext uri="{63B3BB69-23CF-44E3-9099-C40C66FF867C}">
                  <a14:compatExt spid="_x0000_s108675"/>
                </a:ext>
                <a:ext uri="{FF2B5EF4-FFF2-40B4-BE49-F238E27FC236}">
                  <a16:creationId xmlns:a16="http://schemas.microsoft.com/office/drawing/2014/main" id="{00000000-0008-0000-0200-00008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164</xdr:row>
          <xdr:rowOff>0</xdr:rowOff>
        </xdr:from>
        <xdr:to>
          <xdr:col>5</xdr:col>
          <xdr:colOff>0</xdr:colOff>
          <xdr:row>165</xdr:row>
          <xdr:rowOff>47625</xdr:rowOff>
        </xdr:to>
        <xdr:sp macro="" textlink="">
          <xdr:nvSpPr>
            <xdr:cNvPr id="108676" name="Check Box 3204" hidden="1">
              <a:extLst>
                <a:ext uri="{63B3BB69-23CF-44E3-9099-C40C66FF867C}">
                  <a14:compatExt spid="_x0000_s108676"/>
                </a:ext>
                <a:ext uri="{FF2B5EF4-FFF2-40B4-BE49-F238E27FC236}">
                  <a16:creationId xmlns:a16="http://schemas.microsoft.com/office/drawing/2014/main" id="{00000000-0008-0000-0200-00008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165</xdr:row>
          <xdr:rowOff>0</xdr:rowOff>
        </xdr:from>
        <xdr:to>
          <xdr:col>5</xdr:col>
          <xdr:colOff>0</xdr:colOff>
          <xdr:row>166</xdr:row>
          <xdr:rowOff>47625</xdr:rowOff>
        </xdr:to>
        <xdr:sp macro="" textlink="">
          <xdr:nvSpPr>
            <xdr:cNvPr id="108677" name="Check Box 3205" hidden="1">
              <a:extLst>
                <a:ext uri="{63B3BB69-23CF-44E3-9099-C40C66FF867C}">
                  <a14:compatExt spid="_x0000_s108677"/>
                </a:ext>
                <a:ext uri="{FF2B5EF4-FFF2-40B4-BE49-F238E27FC236}">
                  <a16:creationId xmlns:a16="http://schemas.microsoft.com/office/drawing/2014/main" id="{00000000-0008-0000-0200-00008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166</xdr:row>
          <xdr:rowOff>0</xdr:rowOff>
        </xdr:from>
        <xdr:to>
          <xdr:col>5</xdr:col>
          <xdr:colOff>0</xdr:colOff>
          <xdr:row>167</xdr:row>
          <xdr:rowOff>47625</xdr:rowOff>
        </xdr:to>
        <xdr:sp macro="" textlink="">
          <xdr:nvSpPr>
            <xdr:cNvPr id="108678" name="Check Box 3206" hidden="1">
              <a:extLst>
                <a:ext uri="{63B3BB69-23CF-44E3-9099-C40C66FF867C}">
                  <a14:compatExt spid="_x0000_s108678"/>
                </a:ext>
                <a:ext uri="{FF2B5EF4-FFF2-40B4-BE49-F238E27FC236}">
                  <a16:creationId xmlns:a16="http://schemas.microsoft.com/office/drawing/2014/main" id="{00000000-0008-0000-0200-00008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167</xdr:row>
          <xdr:rowOff>0</xdr:rowOff>
        </xdr:from>
        <xdr:to>
          <xdr:col>5</xdr:col>
          <xdr:colOff>0</xdr:colOff>
          <xdr:row>168</xdr:row>
          <xdr:rowOff>47625</xdr:rowOff>
        </xdr:to>
        <xdr:sp macro="" textlink="">
          <xdr:nvSpPr>
            <xdr:cNvPr id="108679" name="Check Box 3207" hidden="1">
              <a:extLst>
                <a:ext uri="{63B3BB69-23CF-44E3-9099-C40C66FF867C}">
                  <a14:compatExt spid="_x0000_s108679"/>
                </a:ext>
                <a:ext uri="{FF2B5EF4-FFF2-40B4-BE49-F238E27FC236}">
                  <a16:creationId xmlns:a16="http://schemas.microsoft.com/office/drawing/2014/main" id="{00000000-0008-0000-0200-00008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168</xdr:row>
          <xdr:rowOff>0</xdr:rowOff>
        </xdr:from>
        <xdr:to>
          <xdr:col>5</xdr:col>
          <xdr:colOff>0</xdr:colOff>
          <xdr:row>169</xdr:row>
          <xdr:rowOff>47625</xdr:rowOff>
        </xdr:to>
        <xdr:sp macro="" textlink="">
          <xdr:nvSpPr>
            <xdr:cNvPr id="108680" name="Check Box 3208" hidden="1">
              <a:extLst>
                <a:ext uri="{63B3BB69-23CF-44E3-9099-C40C66FF867C}">
                  <a14:compatExt spid="_x0000_s108680"/>
                </a:ext>
                <a:ext uri="{FF2B5EF4-FFF2-40B4-BE49-F238E27FC236}">
                  <a16:creationId xmlns:a16="http://schemas.microsoft.com/office/drawing/2014/main" id="{00000000-0008-0000-0200-00008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169</xdr:row>
          <xdr:rowOff>0</xdr:rowOff>
        </xdr:from>
        <xdr:to>
          <xdr:col>5</xdr:col>
          <xdr:colOff>0</xdr:colOff>
          <xdr:row>170</xdr:row>
          <xdr:rowOff>47625</xdr:rowOff>
        </xdr:to>
        <xdr:sp macro="" textlink="">
          <xdr:nvSpPr>
            <xdr:cNvPr id="108681" name="Check Box 3209" hidden="1">
              <a:extLst>
                <a:ext uri="{63B3BB69-23CF-44E3-9099-C40C66FF867C}">
                  <a14:compatExt spid="_x0000_s108681"/>
                </a:ext>
                <a:ext uri="{FF2B5EF4-FFF2-40B4-BE49-F238E27FC236}">
                  <a16:creationId xmlns:a16="http://schemas.microsoft.com/office/drawing/2014/main" id="{00000000-0008-0000-0200-00008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170</xdr:row>
          <xdr:rowOff>0</xdr:rowOff>
        </xdr:from>
        <xdr:to>
          <xdr:col>5</xdr:col>
          <xdr:colOff>0</xdr:colOff>
          <xdr:row>171</xdr:row>
          <xdr:rowOff>47625</xdr:rowOff>
        </xdr:to>
        <xdr:sp macro="" textlink="">
          <xdr:nvSpPr>
            <xdr:cNvPr id="108682" name="Check Box 3210" hidden="1">
              <a:extLst>
                <a:ext uri="{63B3BB69-23CF-44E3-9099-C40C66FF867C}">
                  <a14:compatExt spid="_x0000_s108682"/>
                </a:ext>
                <a:ext uri="{FF2B5EF4-FFF2-40B4-BE49-F238E27FC236}">
                  <a16:creationId xmlns:a16="http://schemas.microsoft.com/office/drawing/2014/main" id="{00000000-0008-0000-0200-00008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171</xdr:row>
          <xdr:rowOff>0</xdr:rowOff>
        </xdr:from>
        <xdr:to>
          <xdr:col>5</xdr:col>
          <xdr:colOff>0</xdr:colOff>
          <xdr:row>172</xdr:row>
          <xdr:rowOff>47625</xdr:rowOff>
        </xdr:to>
        <xdr:sp macro="" textlink="">
          <xdr:nvSpPr>
            <xdr:cNvPr id="108683" name="Check Box 3211" hidden="1">
              <a:extLst>
                <a:ext uri="{63B3BB69-23CF-44E3-9099-C40C66FF867C}">
                  <a14:compatExt spid="_x0000_s108683"/>
                </a:ext>
                <a:ext uri="{FF2B5EF4-FFF2-40B4-BE49-F238E27FC236}">
                  <a16:creationId xmlns:a16="http://schemas.microsoft.com/office/drawing/2014/main" id="{00000000-0008-0000-0200-00008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172</xdr:row>
          <xdr:rowOff>0</xdr:rowOff>
        </xdr:from>
        <xdr:to>
          <xdr:col>5</xdr:col>
          <xdr:colOff>0</xdr:colOff>
          <xdr:row>173</xdr:row>
          <xdr:rowOff>47625</xdr:rowOff>
        </xdr:to>
        <xdr:sp macro="" textlink="">
          <xdr:nvSpPr>
            <xdr:cNvPr id="108684" name="Check Box 3212" hidden="1">
              <a:extLst>
                <a:ext uri="{63B3BB69-23CF-44E3-9099-C40C66FF867C}">
                  <a14:compatExt spid="_x0000_s108684"/>
                </a:ext>
                <a:ext uri="{FF2B5EF4-FFF2-40B4-BE49-F238E27FC236}">
                  <a16:creationId xmlns:a16="http://schemas.microsoft.com/office/drawing/2014/main" id="{00000000-0008-0000-0200-00008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173</xdr:row>
          <xdr:rowOff>0</xdr:rowOff>
        </xdr:from>
        <xdr:to>
          <xdr:col>5</xdr:col>
          <xdr:colOff>0</xdr:colOff>
          <xdr:row>174</xdr:row>
          <xdr:rowOff>47625</xdr:rowOff>
        </xdr:to>
        <xdr:sp macro="" textlink="">
          <xdr:nvSpPr>
            <xdr:cNvPr id="108685" name="Check Box 3213" hidden="1">
              <a:extLst>
                <a:ext uri="{63B3BB69-23CF-44E3-9099-C40C66FF867C}">
                  <a14:compatExt spid="_x0000_s108685"/>
                </a:ext>
                <a:ext uri="{FF2B5EF4-FFF2-40B4-BE49-F238E27FC236}">
                  <a16:creationId xmlns:a16="http://schemas.microsoft.com/office/drawing/2014/main" id="{00000000-0008-0000-0200-00008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174</xdr:row>
          <xdr:rowOff>0</xdr:rowOff>
        </xdr:from>
        <xdr:to>
          <xdr:col>5</xdr:col>
          <xdr:colOff>0</xdr:colOff>
          <xdr:row>175</xdr:row>
          <xdr:rowOff>47625</xdr:rowOff>
        </xdr:to>
        <xdr:sp macro="" textlink="">
          <xdr:nvSpPr>
            <xdr:cNvPr id="108686" name="Check Box 3214" hidden="1">
              <a:extLst>
                <a:ext uri="{63B3BB69-23CF-44E3-9099-C40C66FF867C}">
                  <a14:compatExt spid="_x0000_s108686"/>
                </a:ext>
                <a:ext uri="{FF2B5EF4-FFF2-40B4-BE49-F238E27FC236}">
                  <a16:creationId xmlns:a16="http://schemas.microsoft.com/office/drawing/2014/main" id="{00000000-0008-0000-0200-00008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175</xdr:row>
          <xdr:rowOff>0</xdr:rowOff>
        </xdr:from>
        <xdr:to>
          <xdr:col>5</xdr:col>
          <xdr:colOff>0</xdr:colOff>
          <xdr:row>176</xdr:row>
          <xdr:rowOff>47625</xdr:rowOff>
        </xdr:to>
        <xdr:sp macro="" textlink="">
          <xdr:nvSpPr>
            <xdr:cNvPr id="108687" name="Check Box 3215" hidden="1">
              <a:extLst>
                <a:ext uri="{63B3BB69-23CF-44E3-9099-C40C66FF867C}">
                  <a14:compatExt spid="_x0000_s108687"/>
                </a:ext>
                <a:ext uri="{FF2B5EF4-FFF2-40B4-BE49-F238E27FC236}">
                  <a16:creationId xmlns:a16="http://schemas.microsoft.com/office/drawing/2014/main" id="{00000000-0008-0000-0200-00008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176</xdr:row>
          <xdr:rowOff>0</xdr:rowOff>
        </xdr:from>
        <xdr:to>
          <xdr:col>5</xdr:col>
          <xdr:colOff>0</xdr:colOff>
          <xdr:row>177</xdr:row>
          <xdr:rowOff>47625</xdr:rowOff>
        </xdr:to>
        <xdr:sp macro="" textlink="">
          <xdr:nvSpPr>
            <xdr:cNvPr id="108688" name="Check Box 3216" hidden="1">
              <a:extLst>
                <a:ext uri="{63B3BB69-23CF-44E3-9099-C40C66FF867C}">
                  <a14:compatExt spid="_x0000_s108688"/>
                </a:ext>
                <a:ext uri="{FF2B5EF4-FFF2-40B4-BE49-F238E27FC236}">
                  <a16:creationId xmlns:a16="http://schemas.microsoft.com/office/drawing/2014/main" id="{00000000-0008-0000-0200-00009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177</xdr:row>
          <xdr:rowOff>0</xdr:rowOff>
        </xdr:from>
        <xdr:to>
          <xdr:col>5</xdr:col>
          <xdr:colOff>0</xdr:colOff>
          <xdr:row>178</xdr:row>
          <xdr:rowOff>47625</xdr:rowOff>
        </xdr:to>
        <xdr:sp macro="" textlink="">
          <xdr:nvSpPr>
            <xdr:cNvPr id="108689" name="Check Box 3217" hidden="1">
              <a:extLst>
                <a:ext uri="{63B3BB69-23CF-44E3-9099-C40C66FF867C}">
                  <a14:compatExt spid="_x0000_s108689"/>
                </a:ext>
                <a:ext uri="{FF2B5EF4-FFF2-40B4-BE49-F238E27FC236}">
                  <a16:creationId xmlns:a16="http://schemas.microsoft.com/office/drawing/2014/main" id="{00000000-0008-0000-0200-00009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178</xdr:row>
          <xdr:rowOff>0</xdr:rowOff>
        </xdr:from>
        <xdr:to>
          <xdr:col>5</xdr:col>
          <xdr:colOff>0</xdr:colOff>
          <xdr:row>179</xdr:row>
          <xdr:rowOff>47625</xdr:rowOff>
        </xdr:to>
        <xdr:sp macro="" textlink="">
          <xdr:nvSpPr>
            <xdr:cNvPr id="108690" name="Check Box 3218" hidden="1">
              <a:extLst>
                <a:ext uri="{63B3BB69-23CF-44E3-9099-C40C66FF867C}">
                  <a14:compatExt spid="_x0000_s108690"/>
                </a:ext>
                <a:ext uri="{FF2B5EF4-FFF2-40B4-BE49-F238E27FC236}">
                  <a16:creationId xmlns:a16="http://schemas.microsoft.com/office/drawing/2014/main" id="{00000000-0008-0000-0200-00009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179</xdr:row>
          <xdr:rowOff>0</xdr:rowOff>
        </xdr:from>
        <xdr:to>
          <xdr:col>5</xdr:col>
          <xdr:colOff>0</xdr:colOff>
          <xdr:row>180</xdr:row>
          <xdr:rowOff>47625</xdr:rowOff>
        </xdr:to>
        <xdr:sp macro="" textlink="">
          <xdr:nvSpPr>
            <xdr:cNvPr id="108691" name="Check Box 3219" hidden="1">
              <a:extLst>
                <a:ext uri="{63B3BB69-23CF-44E3-9099-C40C66FF867C}">
                  <a14:compatExt spid="_x0000_s108691"/>
                </a:ext>
                <a:ext uri="{FF2B5EF4-FFF2-40B4-BE49-F238E27FC236}">
                  <a16:creationId xmlns:a16="http://schemas.microsoft.com/office/drawing/2014/main" id="{00000000-0008-0000-0200-00009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180</xdr:row>
          <xdr:rowOff>0</xdr:rowOff>
        </xdr:from>
        <xdr:to>
          <xdr:col>5</xdr:col>
          <xdr:colOff>0</xdr:colOff>
          <xdr:row>181</xdr:row>
          <xdr:rowOff>47625</xdr:rowOff>
        </xdr:to>
        <xdr:sp macro="" textlink="">
          <xdr:nvSpPr>
            <xdr:cNvPr id="108692" name="Check Box 3220" hidden="1">
              <a:extLst>
                <a:ext uri="{63B3BB69-23CF-44E3-9099-C40C66FF867C}">
                  <a14:compatExt spid="_x0000_s108692"/>
                </a:ext>
                <a:ext uri="{FF2B5EF4-FFF2-40B4-BE49-F238E27FC236}">
                  <a16:creationId xmlns:a16="http://schemas.microsoft.com/office/drawing/2014/main" id="{00000000-0008-0000-0200-00009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181</xdr:row>
          <xdr:rowOff>0</xdr:rowOff>
        </xdr:from>
        <xdr:to>
          <xdr:col>5</xdr:col>
          <xdr:colOff>0</xdr:colOff>
          <xdr:row>182</xdr:row>
          <xdr:rowOff>47625</xdr:rowOff>
        </xdr:to>
        <xdr:sp macro="" textlink="">
          <xdr:nvSpPr>
            <xdr:cNvPr id="108693" name="Check Box 3221" hidden="1">
              <a:extLst>
                <a:ext uri="{63B3BB69-23CF-44E3-9099-C40C66FF867C}">
                  <a14:compatExt spid="_x0000_s108693"/>
                </a:ext>
                <a:ext uri="{FF2B5EF4-FFF2-40B4-BE49-F238E27FC236}">
                  <a16:creationId xmlns:a16="http://schemas.microsoft.com/office/drawing/2014/main" id="{00000000-0008-0000-0200-00009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182</xdr:row>
          <xdr:rowOff>0</xdr:rowOff>
        </xdr:from>
        <xdr:to>
          <xdr:col>5</xdr:col>
          <xdr:colOff>0</xdr:colOff>
          <xdr:row>183</xdr:row>
          <xdr:rowOff>47625</xdr:rowOff>
        </xdr:to>
        <xdr:sp macro="" textlink="">
          <xdr:nvSpPr>
            <xdr:cNvPr id="108694" name="Check Box 3222" hidden="1">
              <a:extLst>
                <a:ext uri="{63B3BB69-23CF-44E3-9099-C40C66FF867C}">
                  <a14:compatExt spid="_x0000_s108694"/>
                </a:ext>
                <a:ext uri="{FF2B5EF4-FFF2-40B4-BE49-F238E27FC236}">
                  <a16:creationId xmlns:a16="http://schemas.microsoft.com/office/drawing/2014/main" id="{00000000-0008-0000-0200-00009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183</xdr:row>
          <xdr:rowOff>0</xdr:rowOff>
        </xdr:from>
        <xdr:to>
          <xdr:col>5</xdr:col>
          <xdr:colOff>0</xdr:colOff>
          <xdr:row>184</xdr:row>
          <xdr:rowOff>47625</xdr:rowOff>
        </xdr:to>
        <xdr:sp macro="" textlink="">
          <xdr:nvSpPr>
            <xdr:cNvPr id="108695" name="Check Box 3223" hidden="1">
              <a:extLst>
                <a:ext uri="{63B3BB69-23CF-44E3-9099-C40C66FF867C}">
                  <a14:compatExt spid="_x0000_s108695"/>
                </a:ext>
                <a:ext uri="{FF2B5EF4-FFF2-40B4-BE49-F238E27FC236}">
                  <a16:creationId xmlns:a16="http://schemas.microsoft.com/office/drawing/2014/main" id="{00000000-0008-0000-0200-00009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184</xdr:row>
          <xdr:rowOff>0</xdr:rowOff>
        </xdr:from>
        <xdr:to>
          <xdr:col>5</xdr:col>
          <xdr:colOff>0</xdr:colOff>
          <xdr:row>185</xdr:row>
          <xdr:rowOff>47625</xdr:rowOff>
        </xdr:to>
        <xdr:sp macro="" textlink="">
          <xdr:nvSpPr>
            <xdr:cNvPr id="108696" name="Check Box 3224" hidden="1">
              <a:extLst>
                <a:ext uri="{63B3BB69-23CF-44E3-9099-C40C66FF867C}">
                  <a14:compatExt spid="_x0000_s108696"/>
                </a:ext>
                <a:ext uri="{FF2B5EF4-FFF2-40B4-BE49-F238E27FC236}">
                  <a16:creationId xmlns:a16="http://schemas.microsoft.com/office/drawing/2014/main" id="{00000000-0008-0000-0200-00009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185</xdr:row>
          <xdr:rowOff>0</xdr:rowOff>
        </xdr:from>
        <xdr:to>
          <xdr:col>5</xdr:col>
          <xdr:colOff>0</xdr:colOff>
          <xdr:row>186</xdr:row>
          <xdr:rowOff>47625</xdr:rowOff>
        </xdr:to>
        <xdr:sp macro="" textlink="">
          <xdr:nvSpPr>
            <xdr:cNvPr id="108697" name="Check Box 3225" hidden="1">
              <a:extLst>
                <a:ext uri="{63B3BB69-23CF-44E3-9099-C40C66FF867C}">
                  <a14:compatExt spid="_x0000_s108697"/>
                </a:ext>
                <a:ext uri="{FF2B5EF4-FFF2-40B4-BE49-F238E27FC236}">
                  <a16:creationId xmlns:a16="http://schemas.microsoft.com/office/drawing/2014/main" id="{00000000-0008-0000-0200-00009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186</xdr:row>
          <xdr:rowOff>0</xdr:rowOff>
        </xdr:from>
        <xdr:to>
          <xdr:col>5</xdr:col>
          <xdr:colOff>0</xdr:colOff>
          <xdr:row>187</xdr:row>
          <xdr:rowOff>47625</xdr:rowOff>
        </xdr:to>
        <xdr:sp macro="" textlink="">
          <xdr:nvSpPr>
            <xdr:cNvPr id="108698" name="Check Box 3226" hidden="1">
              <a:extLst>
                <a:ext uri="{63B3BB69-23CF-44E3-9099-C40C66FF867C}">
                  <a14:compatExt spid="_x0000_s108698"/>
                </a:ext>
                <a:ext uri="{FF2B5EF4-FFF2-40B4-BE49-F238E27FC236}">
                  <a16:creationId xmlns:a16="http://schemas.microsoft.com/office/drawing/2014/main" id="{00000000-0008-0000-0200-00009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187</xdr:row>
          <xdr:rowOff>0</xdr:rowOff>
        </xdr:from>
        <xdr:to>
          <xdr:col>5</xdr:col>
          <xdr:colOff>0</xdr:colOff>
          <xdr:row>188</xdr:row>
          <xdr:rowOff>47625</xdr:rowOff>
        </xdr:to>
        <xdr:sp macro="" textlink="">
          <xdr:nvSpPr>
            <xdr:cNvPr id="108699" name="Check Box 3227" hidden="1">
              <a:extLst>
                <a:ext uri="{63B3BB69-23CF-44E3-9099-C40C66FF867C}">
                  <a14:compatExt spid="_x0000_s108699"/>
                </a:ext>
                <a:ext uri="{FF2B5EF4-FFF2-40B4-BE49-F238E27FC236}">
                  <a16:creationId xmlns:a16="http://schemas.microsoft.com/office/drawing/2014/main" id="{00000000-0008-0000-0200-00009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188</xdr:row>
          <xdr:rowOff>0</xdr:rowOff>
        </xdr:from>
        <xdr:to>
          <xdr:col>5</xdr:col>
          <xdr:colOff>0</xdr:colOff>
          <xdr:row>189</xdr:row>
          <xdr:rowOff>47625</xdr:rowOff>
        </xdr:to>
        <xdr:sp macro="" textlink="">
          <xdr:nvSpPr>
            <xdr:cNvPr id="108700" name="Check Box 3228" hidden="1">
              <a:extLst>
                <a:ext uri="{63B3BB69-23CF-44E3-9099-C40C66FF867C}">
                  <a14:compatExt spid="_x0000_s108700"/>
                </a:ext>
                <a:ext uri="{FF2B5EF4-FFF2-40B4-BE49-F238E27FC236}">
                  <a16:creationId xmlns:a16="http://schemas.microsoft.com/office/drawing/2014/main" id="{00000000-0008-0000-0200-00009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189</xdr:row>
          <xdr:rowOff>0</xdr:rowOff>
        </xdr:from>
        <xdr:to>
          <xdr:col>5</xdr:col>
          <xdr:colOff>0</xdr:colOff>
          <xdr:row>190</xdr:row>
          <xdr:rowOff>47625</xdr:rowOff>
        </xdr:to>
        <xdr:sp macro="" textlink="">
          <xdr:nvSpPr>
            <xdr:cNvPr id="108701" name="Check Box 3229" hidden="1">
              <a:extLst>
                <a:ext uri="{63B3BB69-23CF-44E3-9099-C40C66FF867C}">
                  <a14:compatExt spid="_x0000_s108701"/>
                </a:ext>
                <a:ext uri="{FF2B5EF4-FFF2-40B4-BE49-F238E27FC236}">
                  <a16:creationId xmlns:a16="http://schemas.microsoft.com/office/drawing/2014/main" id="{00000000-0008-0000-0200-00009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190</xdr:row>
          <xdr:rowOff>0</xdr:rowOff>
        </xdr:from>
        <xdr:to>
          <xdr:col>5</xdr:col>
          <xdr:colOff>0</xdr:colOff>
          <xdr:row>191</xdr:row>
          <xdr:rowOff>47625</xdr:rowOff>
        </xdr:to>
        <xdr:sp macro="" textlink="">
          <xdr:nvSpPr>
            <xdr:cNvPr id="108702" name="Check Box 3230" hidden="1">
              <a:extLst>
                <a:ext uri="{63B3BB69-23CF-44E3-9099-C40C66FF867C}">
                  <a14:compatExt spid="_x0000_s108702"/>
                </a:ext>
                <a:ext uri="{FF2B5EF4-FFF2-40B4-BE49-F238E27FC236}">
                  <a16:creationId xmlns:a16="http://schemas.microsoft.com/office/drawing/2014/main" id="{00000000-0008-0000-0200-00009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191</xdr:row>
          <xdr:rowOff>0</xdr:rowOff>
        </xdr:from>
        <xdr:to>
          <xdr:col>5</xdr:col>
          <xdr:colOff>0</xdr:colOff>
          <xdr:row>192</xdr:row>
          <xdr:rowOff>47625</xdr:rowOff>
        </xdr:to>
        <xdr:sp macro="" textlink="">
          <xdr:nvSpPr>
            <xdr:cNvPr id="108703" name="Check Box 3231" hidden="1">
              <a:extLst>
                <a:ext uri="{63B3BB69-23CF-44E3-9099-C40C66FF867C}">
                  <a14:compatExt spid="_x0000_s108703"/>
                </a:ext>
                <a:ext uri="{FF2B5EF4-FFF2-40B4-BE49-F238E27FC236}">
                  <a16:creationId xmlns:a16="http://schemas.microsoft.com/office/drawing/2014/main" id="{00000000-0008-0000-0200-00009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192</xdr:row>
          <xdr:rowOff>0</xdr:rowOff>
        </xdr:from>
        <xdr:to>
          <xdr:col>5</xdr:col>
          <xdr:colOff>0</xdr:colOff>
          <xdr:row>193</xdr:row>
          <xdr:rowOff>47625</xdr:rowOff>
        </xdr:to>
        <xdr:sp macro="" textlink="">
          <xdr:nvSpPr>
            <xdr:cNvPr id="108704" name="Check Box 3232" hidden="1">
              <a:extLst>
                <a:ext uri="{63B3BB69-23CF-44E3-9099-C40C66FF867C}">
                  <a14:compatExt spid="_x0000_s108704"/>
                </a:ext>
                <a:ext uri="{FF2B5EF4-FFF2-40B4-BE49-F238E27FC236}">
                  <a16:creationId xmlns:a16="http://schemas.microsoft.com/office/drawing/2014/main" id="{00000000-0008-0000-0200-0000A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193</xdr:row>
          <xdr:rowOff>0</xdr:rowOff>
        </xdr:from>
        <xdr:to>
          <xdr:col>5</xdr:col>
          <xdr:colOff>0</xdr:colOff>
          <xdr:row>194</xdr:row>
          <xdr:rowOff>47625</xdr:rowOff>
        </xdr:to>
        <xdr:sp macro="" textlink="">
          <xdr:nvSpPr>
            <xdr:cNvPr id="108705" name="Check Box 3233" hidden="1">
              <a:extLst>
                <a:ext uri="{63B3BB69-23CF-44E3-9099-C40C66FF867C}">
                  <a14:compatExt spid="_x0000_s108705"/>
                </a:ext>
                <a:ext uri="{FF2B5EF4-FFF2-40B4-BE49-F238E27FC236}">
                  <a16:creationId xmlns:a16="http://schemas.microsoft.com/office/drawing/2014/main" id="{00000000-0008-0000-0200-0000A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194</xdr:row>
          <xdr:rowOff>0</xdr:rowOff>
        </xdr:from>
        <xdr:to>
          <xdr:col>5</xdr:col>
          <xdr:colOff>0</xdr:colOff>
          <xdr:row>195</xdr:row>
          <xdr:rowOff>47625</xdr:rowOff>
        </xdr:to>
        <xdr:sp macro="" textlink="">
          <xdr:nvSpPr>
            <xdr:cNvPr id="108706" name="Check Box 3234" hidden="1">
              <a:extLst>
                <a:ext uri="{63B3BB69-23CF-44E3-9099-C40C66FF867C}">
                  <a14:compatExt spid="_x0000_s108706"/>
                </a:ext>
                <a:ext uri="{FF2B5EF4-FFF2-40B4-BE49-F238E27FC236}">
                  <a16:creationId xmlns:a16="http://schemas.microsoft.com/office/drawing/2014/main" id="{00000000-0008-0000-0200-0000A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195</xdr:row>
          <xdr:rowOff>0</xdr:rowOff>
        </xdr:from>
        <xdr:to>
          <xdr:col>5</xdr:col>
          <xdr:colOff>0</xdr:colOff>
          <xdr:row>196</xdr:row>
          <xdr:rowOff>47625</xdr:rowOff>
        </xdr:to>
        <xdr:sp macro="" textlink="">
          <xdr:nvSpPr>
            <xdr:cNvPr id="108707" name="Check Box 3235" hidden="1">
              <a:extLst>
                <a:ext uri="{63B3BB69-23CF-44E3-9099-C40C66FF867C}">
                  <a14:compatExt spid="_x0000_s108707"/>
                </a:ext>
                <a:ext uri="{FF2B5EF4-FFF2-40B4-BE49-F238E27FC236}">
                  <a16:creationId xmlns:a16="http://schemas.microsoft.com/office/drawing/2014/main" id="{00000000-0008-0000-0200-0000A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196</xdr:row>
          <xdr:rowOff>0</xdr:rowOff>
        </xdr:from>
        <xdr:to>
          <xdr:col>5</xdr:col>
          <xdr:colOff>0</xdr:colOff>
          <xdr:row>197</xdr:row>
          <xdr:rowOff>47625</xdr:rowOff>
        </xdr:to>
        <xdr:sp macro="" textlink="">
          <xdr:nvSpPr>
            <xdr:cNvPr id="108708" name="Check Box 3236" hidden="1">
              <a:extLst>
                <a:ext uri="{63B3BB69-23CF-44E3-9099-C40C66FF867C}">
                  <a14:compatExt spid="_x0000_s108708"/>
                </a:ext>
                <a:ext uri="{FF2B5EF4-FFF2-40B4-BE49-F238E27FC236}">
                  <a16:creationId xmlns:a16="http://schemas.microsoft.com/office/drawing/2014/main" id="{00000000-0008-0000-0200-0000A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197</xdr:row>
          <xdr:rowOff>0</xdr:rowOff>
        </xdr:from>
        <xdr:to>
          <xdr:col>5</xdr:col>
          <xdr:colOff>0</xdr:colOff>
          <xdr:row>198</xdr:row>
          <xdr:rowOff>47625</xdr:rowOff>
        </xdr:to>
        <xdr:sp macro="" textlink="">
          <xdr:nvSpPr>
            <xdr:cNvPr id="108709" name="Check Box 3237" hidden="1">
              <a:extLst>
                <a:ext uri="{63B3BB69-23CF-44E3-9099-C40C66FF867C}">
                  <a14:compatExt spid="_x0000_s108709"/>
                </a:ext>
                <a:ext uri="{FF2B5EF4-FFF2-40B4-BE49-F238E27FC236}">
                  <a16:creationId xmlns:a16="http://schemas.microsoft.com/office/drawing/2014/main" id="{00000000-0008-0000-0200-0000A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198</xdr:row>
          <xdr:rowOff>0</xdr:rowOff>
        </xdr:from>
        <xdr:to>
          <xdr:col>5</xdr:col>
          <xdr:colOff>0</xdr:colOff>
          <xdr:row>199</xdr:row>
          <xdr:rowOff>47625</xdr:rowOff>
        </xdr:to>
        <xdr:sp macro="" textlink="">
          <xdr:nvSpPr>
            <xdr:cNvPr id="108710" name="Check Box 3238" hidden="1">
              <a:extLst>
                <a:ext uri="{63B3BB69-23CF-44E3-9099-C40C66FF867C}">
                  <a14:compatExt spid="_x0000_s108710"/>
                </a:ext>
                <a:ext uri="{FF2B5EF4-FFF2-40B4-BE49-F238E27FC236}">
                  <a16:creationId xmlns:a16="http://schemas.microsoft.com/office/drawing/2014/main" id="{00000000-0008-0000-0200-0000A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199</xdr:row>
          <xdr:rowOff>0</xdr:rowOff>
        </xdr:from>
        <xdr:to>
          <xdr:col>5</xdr:col>
          <xdr:colOff>0</xdr:colOff>
          <xdr:row>200</xdr:row>
          <xdr:rowOff>47625</xdr:rowOff>
        </xdr:to>
        <xdr:sp macro="" textlink="">
          <xdr:nvSpPr>
            <xdr:cNvPr id="108711" name="Check Box 3239" hidden="1">
              <a:extLst>
                <a:ext uri="{63B3BB69-23CF-44E3-9099-C40C66FF867C}">
                  <a14:compatExt spid="_x0000_s108711"/>
                </a:ext>
                <a:ext uri="{FF2B5EF4-FFF2-40B4-BE49-F238E27FC236}">
                  <a16:creationId xmlns:a16="http://schemas.microsoft.com/office/drawing/2014/main" id="{00000000-0008-0000-0200-0000A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200</xdr:row>
          <xdr:rowOff>0</xdr:rowOff>
        </xdr:from>
        <xdr:to>
          <xdr:col>5</xdr:col>
          <xdr:colOff>0</xdr:colOff>
          <xdr:row>201</xdr:row>
          <xdr:rowOff>47625</xdr:rowOff>
        </xdr:to>
        <xdr:sp macro="" textlink="">
          <xdr:nvSpPr>
            <xdr:cNvPr id="108712" name="Check Box 3240" hidden="1">
              <a:extLst>
                <a:ext uri="{63B3BB69-23CF-44E3-9099-C40C66FF867C}">
                  <a14:compatExt spid="_x0000_s108712"/>
                </a:ext>
                <a:ext uri="{FF2B5EF4-FFF2-40B4-BE49-F238E27FC236}">
                  <a16:creationId xmlns:a16="http://schemas.microsoft.com/office/drawing/2014/main" id="{00000000-0008-0000-0200-0000A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201</xdr:row>
          <xdr:rowOff>0</xdr:rowOff>
        </xdr:from>
        <xdr:to>
          <xdr:col>5</xdr:col>
          <xdr:colOff>0</xdr:colOff>
          <xdr:row>202</xdr:row>
          <xdr:rowOff>47625</xdr:rowOff>
        </xdr:to>
        <xdr:sp macro="" textlink="">
          <xdr:nvSpPr>
            <xdr:cNvPr id="108713" name="Check Box 3241" hidden="1">
              <a:extLst>
                <a:ext uri="{63B3BB69-23CF-44E3-9099-C40C66FF867C}">
                  <a14:compatExt spid="_x0000_s108713"/>
                </a:ext>
                <a:ext uri="{FF2B5EF4-FFF2-40B4-BE49-F238E27FC236}">
                  <a16:creationId xmlns:a16="http://schemas.microsoft.com/office/drawing/2014/main" id="{00000000-0008-0000-0200-0000A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202</xdr:row>
          <xdr:rowOff>0</xdr:rowOff>
        </xdr:from>
        <xdr:to>
          <xdr:col>5</xdr:col>
          <xdr:colOff>0</xdr:colOff>
          <xdr:row>203</xdr:row>
          <xdr:rowOff>47625</xdr:rowOff>
        </xdr:to>
        <xdr:sp macro="" textlink="">
          <xdr:nvSpPr>
            <xdr:cNvPr id="108714" name="Check Box 3242" hidden="1">
              <a:extLst>
                <a:ext uri="{63B3BB69-23CF-44E3-9099-C40C66FF867C}">
                  <a14:compatExt spid="_x0000_s108714"/>
                </a:ext>
                <a:ext uri="{FF2B5EF4-FFF2-40B4-BE49-F238E27FC236}">
                  <a16:creationId xmlns:a16="http://schemas.microsoft.com/office/drawing/2014/main" id="{00000000-0008-0000-0200-0000A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203</xdr:row>
          <xdr:rowOff>0</xdr:rowOff>
        </xdr:from>
        <xdr:to>
          <xdr:col>5</xdr:col>
          <xdr:colOff>0</xdr:colOff>
          <xdr:row>204</xdr:row>
          <xdr:rowOff>47625</xdr:rowOff>
        </xdr:to>
        <xdr:sp macro="" textlink="">
          <xdr:nvSpPr>
            <xdr:cNvPr id="108715" name="Check Box 3243" hidden="1">
              <a:extLst>
                <a:ext uri="{63B3BB69-23CF-44E3-9099-C40C66FF867C}">
                  <a14:compatExt spid="_x0000_s108715"/>
                </a:ext>
                <a:ext uri="{FF2B5EF4-FFF2-40B4-BE49-F238E27FC236}">
                  <a16:creationId xmlns:a16="http://schemas.microsoft.com/office/drawing/2014/main" id="{00000000-0008-0000-0200-0000A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204</xdr:row>
          <xdr:rowOff>0</xdr:rowOff>
        </xdr:from>
        <xdr:to>
          <xdr:col>5</xdr:col>
          <xdr:colOff>0</xdr:colOff>
          <xdr:row>205</xdr:row>
          <xdr:rowOff>47625</xdr:rowOff>
        </xdr:to>
        <xdr:sp macro="" textlink="">
          <xdr:nvSpPr>
            <xdr:cNvPr id="108716" name="Check Box 3244" hidden="1">
              <a:extLst>
                <a:ext uri="{63B3BB69-23CF-44E3-9099-C40C66FF867C}">
                  <a14:compatExt spid="_x0000_s108716"/>
                </a:ext>
                <a:ext uri="{FF2B5EF4-FFF2-40B4-BE49-F238E27FC236}">
                  <a16:creationId xmlns:a16="http://schemas.microsoft.com/office/drawing/2014/main" id="{00000000-0008-0000-0200-0000A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205</xdr:row>
          <xdr:rowOff>0</xdr:rowOff>
        </xdr:from>
        <xdr:to>
          <xdr:col>5</xdr:col>
          <xdr:colOff>0</xdr:colOff>
          <xdr:row>206</xdr:row>
          <xdr:rowOff>47625</xdr:rowOff>
        </xdr:to>
        <xdr:sp macro="" textlink="">
          <xdr:nvSpPr>
            <xdr:cNvPr id="108717" name="Check Box 3245" hidden="1">
              <a:extLst>
                <a:ext uri="{63B3BB69-23CF-44E3-9099-C40C66FF867C}">
                  <a14:compatExt spid="_x0000_s108717"/>
                </a:ext>
                <a:ext uri="{FF2B5EF4-FFF2-40B4-BE49-F238E27FC236}">
                  <a16:creationId xmlns:a16="http://schemas.microsoft.com/office/drawing/2014/main" id="{00000000-0008-0000-0200-0000A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206</xdr:row>
          <xdr:rowOff>0</xdr:rowOff>
        </xdr:from>
        <xdr:to>
          <xdr:col>5</xdr:col>
          <xdr:colOff>0</xdr:colOff>
          <xdr:row>207</xdr:row>
          <xdr:rowOff>47625</xdr:rowOff>
        </xdr:to>
        <xdr:sp macro="" textlink="">
          <xdr:nvSpPr>
            <xdr:cNvPr id="108718" name="Check Box 3246" hidden="1">
              <a:extLst>
                <a:ext uri="{63B3BB69-23CF-44E3-9099-C40C66FF867C}">
                  <a14:compatExt spid="_x0000_s108718"/>
                </a:ext>
                <a:ext uri="{FF2B5EF4-FFF2-40B4-BE49-F238E27FC236}">
                  <a16:creationId xmlns:a16="http://schemas.microsoft.com/office/drawing/2014/main" id="{00000000-0008-0000-0200-0000A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207</xdr:row>
          <xdr:rowOff>0</xdr:rowOff>
        </xdr:from>
        <xdr:to>
          <xdr:col>5</xdr:col>
          <xdr:colOff>0</xdr:colOff>
          <xdr:row>208</xdr:row>
          <xdr:rowOff>47625</xdr:rowOff>
        </xdr:to>
        <xdr:sp macro="" textlink="">
          <xdr:nvSpPr>
            <xdr:cNvPr id="108719" name="Check Box 3247" hidden="1">
              <a:extLst>
                <a:ext uri="{63B3BB69-23CF-44E3-9099-C40C66FF867C}">
                  <a14:compatExt spid="_x0000_s108719"/>
                </a:ext>
                <a:ext uri="{FF2B5EF4-FFF2-40B4-BE49-F238E27FC236}">
                  <a16:creationId xmlns:a16="http://schemas.microsoft.com/office/drawing/2014/main" id="{00000000-0008-0000-0200-0000A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208</xdr:row>
          <xdr:rowOff>0</xdr:rowOff>
        </xdr:from>
        <xdr:to>
          <xdr:col>5</xdr:col>
          <xdr:colOff>0</xdr:colOff>
          <xdr:row>209</xdr:row>
          <xdr:rowOff>47625</xdr:rowOff>
        </xdr:to>
        <xdr:sp macro="" textlink="">
          <xdr:nvSpPr>
            <xdr:cNvPr id="108720" name="Check Box 3248" hidden="1">
              <a:extLst>
                <a:ext uri="{63B3BB69-23CF-44E3-9099-C40C66FF867C}">
                  <a14:compatExt spid="_x0000_s108720"/>
                </a:ext>
                <a:ext uri="{FF2B5EF4-FFF2-40B4-BE49-F238E27FC236}">
                  <a16:creationId xmlns:a16="http://schemas.microsoft.com/office/drawing/2014/main" id="{00000000-0008-0000-0200-0000B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209</xdr:row>
          <xdr:rowOff>0</xdr:rowOff>
        </xdr:from>
        <xdr:to>
          <xdr:col>5</xdr:col>
          <xdr:colOff>0</xdr:colOff>
          <xdr:row>210</xdr:row>
          <xdr:rowOff>47625</xdr:rowOff>
        </xdr:to>
        <xdr:sp macro="" textlink="">
          <xdr:nvSpPr>
            <xdr:cNvPr id="108721" name="Check Box 3249" hidden="1">
              <a:extLst>
                <a:ext uri="{63B3BB69-23CF-44E3-9099-C40C66FF867C}">
                  <a14:compatExt spid="_x0000_s108721"/>
                </a:ext>
                <a:ext uri="{FF2B5EF4-FFF2-40B4-BE49-F238E27FC236}">
                  <a16:creationId xmlns:a16="http://schemas.microsoft.com/office/drawing/2014/main" id="{00000000-0008-0000-0200-0000B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210</xdr:row>
          <xdr:rowOff>0</xdr:rowOff>
        </xdr:from>
        <xdr:to>
          <xdr:col>5</xdr:col>
          <xdr:colOff>0</xdr:colOff>
          <xdr:row>211</xdr:row>
          <xdr:rowOff>47625</xdr:rowOff>
        </xdr:to>
        <xdr:sp macro="" textlink="">
          <xdr:nvSpPr>
            <xdr:cNvPr id="108722" name="Check Box 3250" hidden="1">
              <a:extLst>
                <a:ext uri="{63B3BB69-23CF-44E3-9099-C40C66FF867C}">
                  <a14:compatExt spid="_x0000_s108722"/>
                </a:ext>
                <a:ext uri="{FF2B5EF4-FFF2-40B4-BE49-F238E27FC236}">
                  <a16:creationId xmlns:a16="http://schemas.microsoft.com/office/drawing/2014/main" id="{00000000-0008-0000-0200-0000B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211</xdr:row>
          <xdr:rowOff>0</xdr:rowOff>
        </xdr:from>
        <xdr:to>
          <xdr:col>5</xdr:col>
          <xdr:colOff>0</xdr:colOff>
          <xdr:row>212</xdr:row>
          <xdr:rowOff>47625</xdr:rowOff>
        </xdr:to>
        <xdr:sp macro="" textlink="">
          <xdr:nvSpPr>
            <xdr:cNvPr id="108723" name="Check Box 3251" hidden="1">
              <a:extLst>
                <a:ext uri="{63B3BB69-23CF-44E3-9099-C40C66FF867C}">
                  <a14:compatExt spid="_x0000_s108723"/>
                </a:ext>
                <a:ext uri="{FF2B5EF4-FFF2-40B4-BE49-F238E27FC236}">
                  <a16:creationId xmlns:a16="http://schemas.microsoft.com/office/drawing/2014/main" id="{00000000-0008-0000-0200-0000B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212</xdr:row>
          <xdr:rowOff>0</xdr:rowOff>
        </xdr:from>
        <xdr:to>
          <xdr:col>5</xdr:col>
          <xdr:colOff>0</xdr:colOff>
          <xdr:row>213</xdr:row>
          <xdr:rowOff>47625</xdr:rowOff>
        </xdr:to>
        <xdr:sp macro="" textlink="">
          <xdr:nvSpPr>
            <xdr:cNvPr id="108724" name="Check Box 3252" hidden="1">
              <a:extLst>
                <a:ext uri="{63B3BB69-23CF-44E3-9099-C40C66FF867C}">
                  <a14:compatExt spid="_x0000_s108724"/>
                </a:ext>
                <a:ext uri="{FF2B5EF4-FFF2-40B4-BE49-F238E27FC236}">
                  <a16:creationId xmlns:a16="http://schemas.microsoft.com/office/drawing/2014/main" id="{00000000-0008-0000-0200-0000B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213</xdr:row>
          <xdr:rowOff>0</xdr:rowOff>
        </xdr:from>
        <xdr:to>
          <xdr:col>5</xdr:col>
          <xdr:colOff>0</xdr:colOff>
          <xdr:row>214</xdr:row>
          <xdr:rowOff>47625</xdr:rowOff>
        </xdr:to>
        <xdr:sp macro="" textlink="">
          <xdr:nvSpPr>
            <xdr:cNvPr id="108725" name="Check Box 3253" hidden="1">
              <a:extLst>
                <a:ext uri="{63B3BB69-23CF-44E3-9099-C40C66FF867C}">
                  <a14:compatExt spid="_x0000_s108725"/>
                </a:ext>
                <a:ext uri="{FF2B5EF4-FFF2-40B4-BE49-F238E27FC236}">
                  <a16:creationId xmlns:a16="http://schemas.microsoft.com/office/drawing/2014/main" id="{00000000-0008-0000-0200-0000B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214</xdr:row>
          <xdr:rowOff>0</xdr:rowOff>
        </xdr:from>
        <xdr:to>
          <xdr:col>5</xdr:col>
          <xdr:colOff>0</xdr:colOff>
          <xdr:row>215</xdr:row>
          <xdr:rowOff>47625</xdr:rowOff>
        </xdr:to>
        <xdr:sp macro="" textlink="">
          <xdr:nvSpPr>
            <xdr:cNvPr id="108726" name="Check Box 3254" hidden="1">
              <a:extLst>
                <a:ext uri="{63B3BB69-23CF-44E3-9099-C40C66FF867C}">
                  <a14:compatExt spid="_x0000_s108726"/>
                </a:ext>
                <a:ext uri="{FF2B5EF4-FFF2-40B4-BE49-F238E27FC236}">
                  <a16:creationId xmlns:a16="http://schemas.microsoft.com/office/drawing/2014/main" id="{00000000-0008-0000-0200-0000B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215</xdr:row>
          <xdr:rowOff>0</xdr:rowOff>
        </xdr:from>
        <xdr:to>
          <xdr:col>5</xdr:col>
          <xdr:colOff>0</xdr:colOff>
          <xdr:row>216</xdr:row>
          <xdr:rowOff>47625</xdr:rowOff>
        </xdr:to>
        <xdr:sp macro="" textlink="">
          <xdr:nvSpPr>
            <xdr:cNvPr id="108727" name="Check Box 3255" hidden="1">
              <a:extLst>
                <a:ext uri="{63B3BB69-23CF-44E3-9099-C40C66FF867C}">
                  <a14:compatExt spid="_x0000_s108727"/>
                </a:ext>
                <a:ext uri="{FF2B5EF4-FFF2-40B4-BE49-F238E27FC236}">
                  <a16:creationId xmlns:a16="http://schemas.microsoft.com/office/drawing/2014/main" id="{00000000-0008-0000-0200-0000B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216</xdr:row>
          <xdr:rowOff>0</xdr:rowOff>
        </xdr:from>
        <xdr:to>
          <xdr:col>5</xdr:col>
          <xdr:colOff>0</xdr:colOff>
          <xdr:row>217</xdr:row>
          <xdr:rowOff>47625</xdr:rowOff>
        </xdr:to>
        <xdr:sp macro="" textlink="">
          <xdr:nvSpPr>
            <xdr:cNvPr id="108728" name="Check Box 3256" hidden="1">
              <a:extLst>
                <a:ext uri="{63B3BB69-23CF-44E3-9099-C40C66FF867C}">
                  <a14:compatExt spid="_x0000_s108728"/>
                </a:ext>
                <a:ext uri="{FF2B5EF4-FFF2-40B4-BE49-F238E27FC236}">
                  <a16:creationId xmlns:a16="http://schemas.microsoft.com/office/drawing/2014/main" id="{00000000-0008-0000-0200-0000B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217</xdr:row>
          <xdr:rowOff>0</xdr:rowOff>
        </xdr:from>
        <xdr:to>
          <xdr:col>5</xdr:col>
          <xdr:colOff>0</xdr:colOff>
          <xdr:row>218</xdr:row>
          <xdr:rowOff>47625</xdr:rowOff>
        </xdr:to>
        <xdr:sp macro="" textlink="">
          <xdr:nvSpPr>
            <xdr:cNvPr id="108729" name="Check Box 3257" hidden="1">
              <a:extLst>
                <a:ext uri="{63B3BB69-23CF-44E3-9099-C40C66FF867C}">
                  <a14:compatExt spid="_x0000_s108729"/>
                </a:ext>
                <a:ext uri="{FF2B5EF4-FFF2-40B4-BE49-F238E27FC236}">
                  <a16:creationId xmlns:a16="http://schemas.microsoft.com/office/drawing/2014/main" id="{00000000-0008-0000-0200-0000B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218</xdr:row>
          <xdr:rowOff>0</xdr:rowOff>
        </xdr:from>
        <xdr:to>
          <xdr:col>5</xdr:col>
          <xdr:colOff>0</xdr:colOff>
          <xdr:row>219</xdr:row>
          <xdr:rowOff>47625</xdr:rowOff>
        </xdr:to>
        <xdr:sp macro="" textlink="">
          <xdr:nvSpPr>
            <xdr:cNvPr id="108730" name="Check Box 3258" hidden="1">
              <a:extLst>
                <a:ext uri="{63B3BB69-23CF-44E3-9099-C40C66FF867C}">
                  <a14:compatExt spid="_x0000_s108730"/>
                </a:ext>
                <a:ext uri="{FF2B5EF4-FFF2-40B4-BE49-F238E27FC236}">
                  <a16:creationId xmlns:a16="http://schemas.microsoft.com/office/drawing/2014/main" id="{00000000-0008-0000-0200-0000B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219</xdr:row>
          <xdr:rowOff>0</xdr:rowOff>
        </xdr:from>
        <xdr:to>
          <xdr:col>5</xdr:col>
          <xdr:colOff>0</xdr:colOff>
          <xdr:row>220</xdr:row>
          <xdr:rowOff>47625</xdr:rowOff>
        </xdr:to>
        <xdr:sp macro="" textlink="">
          <xdr:nvSpPr>
            <xdr:cNvPr id="108731" name="Check Box 3259" hidden="1">
              <a:extLst>
                <a:ext uri="{63B3BB69-23CF-44E3-9099-C40C66FF867C}">
                  <a14:compatExt spid="_x0000_s108731"/>
                </a:ext>
                <a:ext uri="{FF2B5EF4-FFF2-40B4-BE49-F238E27FC236}">
                  <a16:creationId xmlns:a16="http://schemas.microsoft.com/office/drawing/2014/main" id="{00000000-0008-0000-0200-0000B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220</xdr:row>
          <xdr:rowOff>0</xdr:rowOff>
        </xdr:from>
        <xdr:to>
          <xdr:col>5</xdr:col>
          <xdr:colOff>0</xdr:colOff>
          <xdr:row>221</xdr:row>
          <xdr:rowOff>47625</xdr:rowOff>
        </xdr:to>
        <xdr:sp macro="" textlink="">
          <xdr:nvSpPr>
            <xdr:cNvPr id="108732" name="Check Box 3260" hidden="1">
              <a:extLst>
                <a:ext uri="{63B3BB69-23CF-44E3-9099-C40C66FF867C}">
                  <a14:compatExt spid="_x0000_s108732"/>
                </a:ext>
                <a:ext uri="{FF2B5EF4-FFF2-40B4-BE49-F238E27FC236}">
                  <a16:creationId xmlns:a16="http://schemas.microsoft.com/office/drawing/2014/main" id="{00000000-0008-0000-0200-0000B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221</xdr:row>
          <xdr:rowOff>0</xdr:rowOff>
        </xdr:from>
        <xdr:to>
          <xdr:col>5</xdr:col>
          <xdr:colOff>0</xdr:colOff>
          <xdr:row>222</xdr:row>
          <xdr:rowOff>47625</xdr:rowOff>
        </xdr:to>
        <xdr:sp macro="" textlink="">
          <xdr:nvSpPr>
            <xdr:cNvPr id="108733" name="Check Box 3261" hidden="1">
              <a:extLst>
                <a:ext uri="{63B3BB69-23CF-44E3-9099-C40C66FF867C}">
                  <a14:compatExt spid="_x0000_s108733"/>
                </a:ext>
                <a:ext uri="{FF2B5EF4-FFF2-40B4-BE49-F238E27FC236}">
                  <a16:creationId xmlns:a16="http://schemas.microsoft.com/office/drawing/2014/main" id="{00000000-0008-0000-0200-0000B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222</xdr:row>
          <xdr:rowOff>0</xdr:rowOff>
        </xdr:from>
        <xdr:to>
          <xdr:col>5</xdr:col>
          <xdr:colOff>0</xdr:colOff>
          <xdr:row>223</xdr:row>
          <xdr:rowOff>47625</xdr:rowOff>
        </xdr:to>
        <xdr:sp macro="" textlink="">
          <xdr:nvSpPr>
            <xdr:cNvPr id="108734" name="Check Box 3262" hidden="1">
              <a:extLst>
                <a:ext uri="{63B3BB69-23CF-44E3-9099-C40C66FF867C}">
                  <a14:compatExt spid="_x0000_s108734"/>
                </a:ext>
                <a:ext uri="{FF2B5EF4-FFF2-40B4-BE49-F238E27FC236}">
                  <a16:creationId xmlns:a16="http://schemas.microsoft.com/office/drawing/2014/main" id="{00000000-0008-0000-0200-0000B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223</xdr:row>
          <xdr:rowOff>0</xdr:rowOff>
        </xdr:from>
        <xdr:to>
          <xdr:col>5</xdr:col>
          <xdr:colOff>0</xdr:colOff>
          <xdr:row>224</xdr:row>
          <xdr:rowOff>47625</xdr:rowOff>
        </xdr:to>
        <xdr:sp macro="" textlink="">
          <xdr:nvSpPr>
            <xdr:cNvPr id="108735" name="Check Box 3263" hidden="1">
              <a:extLst>
                <a:ext uri="{63B3BB69-23CF-44E3-9099-C40C66FF867C}">
                  <a14:compatExt spid="_x0000_s108735"/>
                </a:ext>
                <a:ext uri="{FF2B5EF4-FFF2-40B4-BE49-F238E27FC236}">
                  <a16:creationId xmlns:a16="http://schemas.microsoft.com/office/drawing/2014/main" id="{00000000-0008-0000-0200-0000B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224</xdr:row>
          <xdr:rowOff>0</xdr:rowOff>
        </xdr:from>
        <xdr:to>
          <xdr:col>5</xdr:col>
          <xdr:colOff>0</xdr:colOff>
          <xdr:row>225</xdr:row>
          <xdr:rowOff>47625</xdr:rowOff>
        </xdr:to>
        <xdr:sp macro="" textlink="">
          <xdr:nvSpPr>
            <xdr:cNvPr id="108736" name="Check Box 3264" hidden="1">
              <a:extLst>
                <a:ext uri="{63B3BB69-23CF-44E3-9099-C40C66FF867C}">
                  <a14:compatExt spid="_x0000_s108736"/>
                </a:ext>
                <a:ext uri="{FF2B5EF4-FFF2-40B4-BE49-F238E27FC236}">
                  <a16:creationId xmlns:a16="http://schemas.microsoft.com/office/drawing/2014/main" id="{00000000-0008-0000-0200-0000C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225</xdr:row>
          <xdr:rowOff>0</xdr:rowOff>
        </xdr:from>
        <xdr:to>
          <xdr:col>5</xdr:col>
          <xdr:colOff>0</xdr:colOff>
          <xdr:row>226</xdr:row>
          <xdr:rowOff>47625</xdr:rowOff>
        </xdr:to>
        <xdr:sp macro="" textlink="">
          <xdr:nvSpPr>
            <xdr:cNvPr id="108737" name="Check Box 3265" hidden="1">
              <a:extLst>
                <a:ext uri="{63B3BB69-23CF-44E3-9099-C40C66FF867C}">
                  <a14:compatExt spid="_x0000_s108737"/>
                </a:ext>
                <a:ext uri="{FF2B5EF4-FFF2-40B4-BE49-F238E27FC236}">
                  <a16:creationId xmlns:a16="http://schemas.microsoft.com/office/drawing/2014/main" id="{00000000-0008-0000-0200-0000C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226</xdr:row>
          <xdr:rowOff>0</xdr:rowOff>
        </xdr:from>
        <xdr:to>
          <xdr:col>5</xdr:col>
          <xdr:colOff>0</xdr:colOff>
          <xdr:row>227</xdr:row>
          <xdr:rowOff>47625</xdr:rowOff>
        </xdr:to>
        <xdr:sp macro="" textlink="">
          <xdr:nvSpPr>
            <xdr:cNvPr id="108738" name="Check Box 3266" hidden="1">
              <a:extLst>
                <a:ext uri="{63B3BB69-23CF-44E3-9099-C40C66FF867C}">
                  <a14:compatExt spid="_x0000_s108738"/>
                </a:ext>
                <a:ext uri="{FF2B5EF4-FFF2-40B4-BE49-F238E27FC236}">
                  <a16:creationId xmlns:a16="http://schemas.microsoft.com/office/drawing/2014/main" id="{00000000-0008-0000-0200-0000C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227</xdr:row>
          <xdr:rowOff>0</xdr:rowOff>
        </xdr:from>
        <xdr:to>
          <xdr:col>5</xdr:col>
          <xdr:colOff>0</xdr:colOff>
          <xdr:row>228</xdr:row>
          <xdr:rowOff>47625</xdr:rowOff>
        </xdr:to>
        <xdr:sp macro="" textlink="">
          <xdr:nvSpPr>
            <xdr:cNvPr id="108739" name="Check Box 3267" hidden="1">
              <a:extLst>
                <a:ext uri="{63B3BB69-23CF-44E3-9099-C40C66FF867C}">
                  <a14:compatExt spid="_x0000_s108739"/>
                </a:ext>
                <a:ext uri="{FF2B5EF4-FFF2-40B4-BE49-F238E27FC236}">
                  <a16:creationId xmlns:a16="http://schemas.microsoft.com/office/drawing/2014/main" id="{00000000-0008-0000-0200-0000C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228</xdr:row>
          <xdr:rowOff>0</xdr:rowOff>
        </xdr:from>
        <xdr:to>
          <xdr:col>5</xdr:col>
          <xdr:colOff>0</xdr:colOff>
          <xdr:row>229</xdr:row>
          <xdr:rowOff>47625</xdr:rowOff>
        </xdr:to>
        <xdr:sp macro="" textlink="">
          <xdr:nvSpPr>
            <xdr:cNvPr id="108740" name="Check Box 3268" hidden="1">
              <a:extLst>
                <a:ext uri="{63B3BB69-23CF-44E3-9099-C40C66FF867C}">
                  <a14:compatExt spid="_x0000_s108740"/>
                </a:ext>
                <a:ext uri="{FF2B5EF4-FFF2-40B4-BE49-F238E27FC236}">
                  <a16:creationId xmlns:a16="http://schemas.microsoft.com/office/drawing/2014/main" id="{00000000-0008-0000-0200-0000C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229</xdr:row>
          <xdr:rowOff>0</xdr:rowOff>
        </xdr:from>
        <xdr:to>
          <xdr:col>5</xdr:col>
          <xdr:colOff>0</xdr:colOff>
          <xdr:row>230</xdr:row>
          <xdr:rowOff>47625</xdr:rowOff>
        </xdr:to>
        <xdr:sp macro="" textlink="">
          <xdr:nvSpPr>
            <xdr:cNvPr id="108741" name="Check Box 3269" hidden="1">
              <a:extLst>
                <a:ext uri="{63B3BB69-23CF-44E3-9099-C40C66FF867C}">
                  <a14:compatExt spid="_x0000_s108741"/>
                </a:ext>
                <a:ext uri="{FF2B5EF4-FFF2-40B4-BE49-F238E27FC236}">
                  <a16:creationId xmlns:a16="http://schemas.microsoft.com/office/drawing/2014/main" id="{00000000-0008-0000-0200-0000C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230</xdr:row>
          <xdr:rowOff>0</xdr:rowOff>
        </xdr:from>
        <xdr:to>
          <xdr:col>5</xdr:col>
          <xdr:colOff>0</xdr:colOff>
          <xdr:row>231</xdr:row>
          <xdr:rowOff>47625</xdr:rowOff>
        </xdr:to>
        <xdr:sp macro="" textlink="">
          <xdr:nvSpPr>
            <xdr:cNvPr id="108742" name="Check Box 3270" hidden="1">
              <a:extLst>
                <a:ext uri="{63B3BB69-23CF-44E3-9099-C40C66FF867C}">
                  <a14:compatExt spid="_x0000_s108742"/>
                </a:ext>
                <a:ext uri="{FF2B5EF4-FFF2-40B4-BE49-F238E27FC236}">
                  <a16:creationId xmlns:a16="http://schemas.microsoft.com/office/drawing/2014/main" id="{00000000-0008-0000-0200-0000C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231</xdr:row>
          <xdr:rowOff>0</xdr:rowOff>
        </xdr:from>
        <xdr:to>
          <xdr:col>5</xdr:col>
          <xdr:colOff>0</xdr:colOff>
          <xdr:row>232</xdr:row>
          <xdr:rowOff>47625</xdr:rowOff>
        </xdr:to>
        <xdr:sp macro="" textlink="">
          <xdr:nvSpPr>
            <xdr:cNvPr id="108743" name="Check Box 3271" hidden="1">
              <a:extLst>
                <a:ext uri="{63B3BB69-23CF-44E3-9099-C40C66FF867C}">
                  <a14:compatExt spid="_x0000_s108743"/>
                </a:ext>
                <a:ext uri="{FF2B5EF4-FFF2-40B4-BE49-F238E27FC236}">
                  <a16:creationId xmlns:a16="http://schemas.microsoft.com/office/drawing/2014/main" id="{00000000-0008-0000-0200-0000C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232</xdr:row>
          <xdr:rowOff>0</xdr:rowOff>
        </xdr:from>
        <xdr:to>
          <xdr:col>5</xdr:col>
          <xdr:colOff>0</xdr:colOff>
          <xdr:row>233</xdr:row>
          <xdr:rowOff>47625</xdr:rowOff>
        </xdr:to>
        <xdr:sp macro="" textlink="">
          <xdr:nvSpPr>
            <xdr:cNvPr id="108744" name="Check Box 3272" hidden="1">
              <a:extLst>
                <a:ext uri="{63B3BB69-23CF-44E3-9099-C40C66FF867C}">
                  <a14:compatExt spid="_x0000_s108744"/>
                </a:ext>
                <a:ext uri="{FF2B5EF4-FFF2-40B4-BE49-F238E27FC236}">
                  <a16:creationId xmlns:a16="http://schemas.microsoft.com/office/drawing/2014/main" id="{00000000-0008-0000-0200-0000C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233</xdr:row>
          <xdr:rowOff>0</xdr:rowOff>
        </xdr:from>
        <xdr:to>
          <xdr:col>5</xdr:col>
          <xdr:colOff>0</xdr:colOff>
          <xdr:row>234</xdr:row>
          <xdr:rowOff>47625</xdr:rowOff>
        </xdr:to>
        <xdr:sp macro="" textlink="">
          <xdr:nvSpPr>
            <xdr:cNvPr id="108745" name="Check Box 3273" hidden="1">
              <a:extLst>
                <a:ext uri="{63B3BB69-23CF-44E3-9099-C40C66FF867C}">
                  <a14:compatExt spid="_x0000_s108745"/>
                </a:ext>
                <a:ext uri="{FF2B5EF4-FFF2-40B4-BE49-F238E27FC236}">
                  <a16:creationId xmlns:a16="http://schemas.microsoft.com/office/drawing/2014/main" id="{00000000-0008-0000-0200-0000C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234</xdr:row>
          <xdr:rowOff>0</xdr:rowOff>
        </xdr:from>
        <xdr:to>
          <xdr:col>5</xdr:col>
          <xdr:colOff>0</xdr:colOff>
          <xdr:row>235</xdr:row>
          <xdr:rowOff>47625</xdr:rowOff>
        </xdr:to>
        <xdr:sp macro="" textlink="">
          <xdr:nvSpPr>
            <xdr:cNvPr id="108746" name="Check Box 3274" hidden="1">
              <a:extLst>
                <a:ext uri="{63B3BB69-23CF-44E3-9099-C40C66FF867C}">
                  <a14:compatExt spid="_x0000_s108746"/>
                </a:ext>
                <a:ext uri="{FF2B5EF4-FFF2-40B4-BE49-F238E27FC236}">
                  <a16:creationId xmlns:a16="http://schemas.microsoft.com/office/drawing/2014/main" id="{00000000-0008-0000-0200-0000C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235</xdr:row>
          <xdr:rowOff>0</xdr:rowOff>
        </xdr:from>
        <xdr:to>
          <xdr:col>5</xdr:col>
          <xdr:colOff>0</xdr:colOff>
          <xdr:row>236</xdr:row>
          <xdr:rowOff>47625</xdr:rowOff>
        </xdr:to>
        <xdr:sp macro="" textlink="">
          <xdr:nvSpPr>
            <xdr:cNvPr id="108747" name="Check Box 3275" hidden="1">
              <a:extLst>
                <a:ext uri="{63B3BB69-23CF-44E3-9099-C40C66FF867C}">
                  <a14:compatExt spid="_x0000_s108747"/>
                </a:ext>
                <a:ext uri="{FF2B5EF4-FFF2-40B4-BE49-F238E27FC236}">
                  <a16:creationId xmlns:a16="http://schemas.microsoft.com/office/drawing/2014/main" id="{00000000-0008-0000-0200-0000C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236</xdr:row>
          <xdr:rowOff>0</xdr:rowOff>
        </xdr:from>
        <xdr:to>
          <xdr:col>5</xdr:col>
          <xdr:colOff>0</xdr:colOff>
          <xdr:row>237</xdr:row>
          <xdr:rowOff>47625</xdr:rowOff>
        </xdr:to>
        <xdr:sp macro="" textlink="">
          <xdr:nvSpPr>
            <xdr:cNvPr id="108748" name="Check Box 3276" hidden="1">
              <a:extLst>
                <a:ext uri="{63B3BB69-23CF-44E3-9099-C40C66FF867C}">
                  <a14:compatExt spid="_x0000_s108748"/>
                </a:ext>
                <a:ext uri="{FF2B5EF4-FFF2-40B4-BE49-F238E27FC236}">
                  <a16:creationId xmlns:a16="http://schemas.microsoft.com/office/drawing/2014/main" id="{00000000-0008-0000-0200-0000C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237</xdr:row>
          <xdr:rowOff>0</xdr:rowOff>
        </xdr:from>
        <xdr:to>
          <xdr:col>5</xdr:col>
          <xdr:colOff>0</xdr:colOff>
          <xdr:row>238</xdr:row>
          <xdr:rowOff>47625</xdr:rowOff>
        </xdr:to>
        <xdr:sp macro="" textlink="">
          <xdr:nvSpPr>
            <xdr:cNvPr id="108749" name="Check Box 3277" hidden="1">
              <a:extLst>
                <a:ext uri="{63B3BB69-23CF-44E3-9099-C40C66FF867C}">
                  <a14:compatExt spid="_x0000_s108749"/>
                </a:ext>
                <a:ext uri="{FF2B5EF4-FFF2-40B4-BE49-F238E27FC236}">
                  <a16:creationId xmlns:a16="http://schemas.microsoft.com/office/drawing/2014/main" id="{00000000-0008-0000-0200-0000C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238</xdr:row>
          <xdr:rowOff>0</xdr:rowOff>
        </xdr:from>
        <xdr:to>
          <xdr:col>5</xdr:col>
          <xdr:colOff>0</xdr:colOff>
          <xdr:row>239</xdr:row>
          <xdr:rowOff>47625</xdr:rowOff>
        </xdr:to>
        <xdr:sp macro="" textlink="">
          <xdr:nvSpPr>
            <xdr:cNvPr id="108750" name="Check Box 3278" hidden="1">
              <a:extLst>
                <a:ext uri="{63B3BB69-23CF-44E3-9099-C40C66FF867C}">
                  <a14:compatExt spid="_x0000_s108750"/>
                </a:ext>
                <a:ext uri="{FF2B5EF4-FFF2-40B4-BE49-F238E27FC236}">
                  <a16:creationId xmlns:a16="http://schemas.microsoft.com/office/drawing/2014/main" id="{00000000-0008-0000-0200-0000C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239</xdr:row>
          <xdr:rowOff>0</xdr:rowOff>
        </xdr:from>
        <xdr:to>
          <xdr:col>5</xdr:col>
          <xdr:colOff>0</xdr:colOff>
          <xdr:row>240</xdr:row>
          <xdr:rowOff>47625</xdr:rowOff>
        </xdr:to>
        <xdr:sp macro="" textlink="">
          <xdr:nvSpPr>
            <xdr:cNvPr id="108751" name="Check Box 3279" hidden="1">
              <a:extLst>
                <a:ext uri="{63B3BB69-23CF-44E3-9099-C40C66FF867C}">
                  <a14:compatExt spid="_x0000_s108751"/>
                </a:ext>
                <a:ext uri="{FF2B5EF4-FFF2-40B4-BE49-F238E27FC236}">
                  <a16:creationId xmlns:a16="http://schemas.microsoft.com/office/drawing/2014/main" id="{00000000-0008-0000-0200-0000C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240</xdr:row>
          <xdr:rowOff>0</xdr:rowOff>
        </xdr:from>
        <xdr:to>
          <xdr:col>5</xdr:col>
          <xdr:colOff>0</xdr:colOff>
          <xdr:row>241</xdr:row>
          <xdr:rowOff>47625</xdr:rowOff>
        </xdr:to>
        <xdr:sp macro="" textlink="">
          <xdr:nvSpPr>
            <xdr:cNvPr id="108752" name="Check Box 3280" hidden="1">
              <a:extLst>
                <a:ext uri="{63B3BB69-23CF-44E3-9099-C40C66FF867C}">
                  <a14:compatExt spid="_x0000_s108752"/>
                </a:ext>
                <a:ext uri="{FF2B5EF4-FFF2-40B4-BE49-F238E27FC236}">
                  <a16:creationId xmlns:a16="http://schemas.microsoft.com/office/drawing/2014/main" id="{00000000-0008-0000-0200-0000D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241</xdr:row>
          <xdr:rowOff>0</xdr:rowOff>
        </xdr:from>
        <xdr:to>
          <xdr:col>5</xdr:col>
          <xdr:colOff>0</xdr:colOff>
          <xdr:row>242</xdr:row>
          <xdr:rowOff>47625</xdr:rowOff>
        </xdr:to>
        <xdr:sp macro="" textlink="">
          <xdr:nvSpPr>
            <xdr:cNvPr id="108753" name="Check Box 3281" hidden="1">
              <a:extLst>
                <a:ext uri="{63B3BB69-23CF-44E3-9099-C40C66FF867C}">
                  <a14:compatExt spid="_x0000_s108753"/>
                </a:ext>
                <a:ext uri="{FF2B5EF4-FFF2-40B4-BE49-F238E27FC236}">
                  <a16:creationId xmlns:a16="http://schemas.microsoft.com/office/drawing/2014/main" id="{00000000-0008-0000-0200-0000D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242</xdr:row>
          <xdr:rowOff>0</xdr:rowOff>
        </xdr:from>
        <xdr:to>
          <xdr:col>5</xdr:col>
          <xdr:colOff>0</xdr:colOff>
          <xdr:row>243</xdr:row>
          <xdr:rowOff>47625</xdr:rowOff>
        </xdr:to>
        <xdr:sp macro="" textlink="">
          <xdr:nvSpPr>
            <xdr:cNvPr id="108754" name="Check Box 3282" hidden="1">
              <a:extLst>
                <a:ext uri="{63B3BB69-23CF-44E3-9099-C40C66FF867C}">
                  <a14:compatExt spid="_x0000_s108754"/>
                </a:ext>
                <a:ext uri="{FF2B5EF4-FFF2-40B4-BE49-F238E27FC236}">
                  <a16:creationId xmlns:a16="http://schemas.microsoft.com/office/drawing/2014/main" id="{00000000-0008-0000-0200-0000D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243</xdr:row>
          <xdr:rowOff>0</xdr:rowOff>
        </xdr:from>
        <xdr:to>
          <xdr:col>5</xdr:col>
          <xdr:colOff>0</xdr:colOff>
          <xdr:row>244</xdr:row>
          <xdr:rowOff>47625</xdr:rowOff>
        </xdr:to>
        <xdr:sp macro="" textlink="">
          <xdr:nvSpPr>
            <xdr:cNvPr id="108755" name="Check Box 3283" hidden="1">
              <a:extLst>
                <a:ext uri="{63B3BB69-23CF-44E3-9099-C40C66FF867C}">
                  <a14:compatExt spid="_x0000_s108755"/>
                </a:ext>
                <a:ext uri="{FF2B5EF4-FFF2-40B4-BE49-F238E27FC236}">
                  <a16:creationId xmlns:a16="http://schemas.microsoft.com/office/drawing/2014/main" id="{00000000-0008-0000-0200-0000D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244</xdr:row>
          <xdr:rowOff>0</xdr:rowOff>
        </xdr:from>
        <xdr:to>
          <xdr:col>5</xdr:col>
          <xdr:colOff>0</xdr:colOff>
          <xdr:row>245</xdr:row>
          <xdr:rowOff>47625</xdr:rowOff>
        </xdr:to>
        <xdr:sp macro="" textlink="">
          <xdr:nvSpPr>
            <xdr:cNvPr id="108756" name="Check Box 3284" hidden="1">
              <a:extLst>
                <a:ext uri="{63B3BB69-23CF-44E3-9099-C40C66FF867C}">
                  <a14:compatExt spid="_x0000_s108756"/>
                </a:ext>
                <a:ext uri="{FF2B5EF4-FFF2-40B4-BE49-F238E27FC236}">
                  <a16:creationId xmlns:a16="http://schemas.microsoft.com/office/drawing/2014/main" id="{00000000-0008-0000-0200-0000D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245</xdr:row>
          <xdr:rowOff>0</xdr:rowOff>
        </xdr:from>
        <xdr:to>
          <xdr:col>5</xdr:col>
          <xdr:colOff>0</xdr:colOff>
          <xdr:row>246</xdr:row>
          <xdr:rowOff>47625</xdr:rowOff>
        </xdr:to>
        <xdr:sp macro="" textlink="">
          <xdr:nvSpPr>
            <xdr:cNvPr id="108757" name="Check Box 3285" hidden="1">
              <a:extLst>
                <a:ext uri="{63B3BB69-23CF-44E3-9099-C40C66FF867C}">
                  <a14:compatExt spid="_x0000_s108757"/>
                </a:ext>
                <a:ext uri="{FF2B5EF4-FFF2-40B4-BE49-F238E27FC236}">
                  <a16:creationId xmlns:a16="http://schemas.microsoft.com/office/drawing/2014/main" id="{00000000-0008-0000-0200-0000D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246</xdr:row>
          <xdr:rowOff>0</xdr:rowOff>
        </xdr:from>
        <xdr:to>
          <xdr:col>5</xdr:col>
          <xdr:colOff>0</xdr:colOff>
          <xdr:row>247</xdr:row>
          <xdr:rowOff>47625</xdr:rowOff>
        </xdr:to>
        <xdr:sp macro="" textlink="">
          <xdr:nvSpPr>
            <xdr:cNvPr id="108758" name="Check Box 3286" hidden="1">
              <a:extLst>
                <a:ext uri="{63B3BB69-23CF-44E3-9099-C40C66FF867C}">
                  <a14:compatExt spid="_x0000_s108758"/>
                </a:ext>
                <a:ext uri="{FF2B5EF4-FFF2-40B4-BE49-F238E27FC236}">
                  <a16:creationId xmlns:a16="http://schemas.microsoft.com/office/drawing/2014/main" id="{00000000-0008-0000-0200-0000D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247</xdr:row>
          <xdr:rowOff>0</xdr:rowOff>
        </xdr:from>
        <xdr:to>
          <xdr:col>5</xdr:col>
          <xdr:colOff>0</xdr:colOff>
          <xdr:row>248</xdr:row>
          <xdr:rowOff>47625</xdr:rowOff>
        </xdr:to>
        <xdr:sp macro="" textlink="">
          <xdr:nvSpPr>
            <xdr:cNvPr id="108759" name="Check Box 3287" hidden="1">
              <a:extLst>
                <a:ext uri="{63B3BB69-23CF-44E3-9099-C40C66FF867C}">
                  <a14:compatExt spid="_x0000_s108759"/>
                </a:ext>
                <a:ext uri="{FF2B5EF4-FFF2-40B4-BE49-F238E27FC236}">
                  <a16:creationId xmlns:a16="http://schemas.microsoft.com/office/drawing/2014/main" id="{00000000-0008-0000-0200-0000D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248</xdr:row>
          <xdr:rowOff>0</xdr:rowOff>
        </xdr:from>
        <xdr:to>
          <xdr:col>5</xdr:col>
          <xdr:colOff>0</xdr:colOff>
          <xdr:row>249</xdr:row>
          <xdr:rowOff>47625</xdr:rowOff>
        </xdr:to>
        <xdr:sp macro="" textlink="">
          <xdr:nvSpPr>
            <xdr:cNvPr id="108760" name="Check Box 3288" hidden="1">
              <a:extLst>
                <a:ext uri="{63B3BB69-23CF-44E3-9099-C40C66FF867C}">
                  <a14:compatExt spid="_x0000_s108760"/>
                </a:ext>
                <a:ext uri="{FF2B5EF4-FFF2-40B4-BE49-F238E27FC236}">
                  <a16:creationId xmlns:a16="http://schemas.microsoft.com/office/drawing/2014/main" id="{00000000-0008-0000-0200-0000D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249</xdr:row>
          <xdr:rowOff>0</xdr:rowOff>
        </xdr:from>
        <xdr:to>
          <xdr:col>5</xdr:col>
          <xdr:colOff>0</xdr:colOff>
          <xdr:row>250</xdr:row>
          <xdr:rowOff>47625</xdr:rowOff>
        </xdr:to>
        <xdr:sp macro="" textlink="">
          <xdr:nvSpPr>
            <xdr:cNvPr id="108761" name="Check Box 3289" hidden="1">
              <a:extLst>
                <a:ext uri="{63B3BB69-23CF-44E3-9099-C40C66FF867C}">
                  <a14:compatExt spid="_x0000_s108761"/>
                </a:ext>
                <a:ext uri="{FF2B5EF4-FFF2-40B4-BE49-F238E27FC236}">
                  <a16:creationId xmlns:a16="http://schemas.microsoft.com/office/drawing/2014/main" id="{00000000-0008-0000-0200-0000D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250</xdr:row>
          <xdr:rowOff>0</xdr:rowOff>
        </xdr:from>
        <xdr:to>
          <xdr:col>5</xdr:col>
          <xdr:colOff>0</xdr:colOff>
          <xdr:row>251</xdr:row>
          <xdr:rowOff>47625</xdr:rowOff>
        </xdr:to>
        <xdr:sp macro="" textlink="">
          <xdr:nvSpPr>
            <xdr:cNvPr id="108762" name="Check Box 3290" hidden="1">
              <a:extLst>
                <a:ext uri="{63B3BB69-23CF-44E3-9099-C40C66FF867C}">
                  <a14:compatExt spid="_x0000_s108762"/>
                </a:ext>
                <a:ext uri="{FF2B5EF4-FFF2-40B4-BE49-F238E27FC236}">
                  <a16:creationId xmlns:a16="http://schemas.microsoft.com/office/drawing/2014/main" id="{00000000-0008-0000-0200-0000D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251</xdr:row>
          <xdr:rowOff>0</xdr:rowOff>
        </xdr:from>
        <xdr:to>
          <xdr:col>5</xdr:col>
          <xdr:colOff>0</xdr:colOff>
          <xdr:row>252</xdr:row>
          <xdr:rowOff>47625</xdr:rowOff>
        </xdr:to>
        <xdr:sp macro="" textlink="">
          <xdr:nvSpPr>
            <xdr:cNvPr id="108763" name="Check Box 3291" hidden="1">
              <a:extLst>
                <a:ext uri="{63B3BB69-23CF-44E3-9099-C40C66FF867C}">
                  <a14:compatExt spid="_x0000_s108763"/>
                </a:ext>
                <a:ext uri="{FF2B5EF4-FFF2-40B4-BE49-F238E27FC236}">
                  <a16:creationId xmlns:a16="http://schemas.microsoft.com/office/drawing/2014/main" id="{00000000-0008-0000-0200-0000D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252</xdr:row>
          <xdr:rowOff>0</xdr:rowOff>
        </xdr:from>
        <xdr:to>
          <xdr:col>5</xdr:col>
          <xdr:colOff>0</xdr:colOff>
          <xdr:row>253</xdr:row>
          <xdr:rowOff>47625</xdr:rowOff>
        </xdr:to>
        <xdr:sp macro="" textlink="">
          <xdr:nvSpPr>
            <xdr:cNvPr id="108764" name="Check Box 3292" hidden="1">
              <a:extLst>
                <a:ext uri="{63B3BB69-23CF-44E3-9099-C40C66FF867C}">
                  <a14:compatExt spid="_x0000_s108764"/>
                </a:ext>
                <a:ext uri="{FF2B5EF4-FFF2-40B4-BE49-F238E27FC236}">
                  <a16:creationId xmlns:a16="http://schemas.microsoft.com/office/drawing/2014/main" id="{00000000-0008-0000-0200-0000D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253</xdr:row>
          <xdr:rowOff>0</xdr:rowOff>
        </xdr:from>
        <xdr:to>
          <xdr:col>5</xdr:col>
          <xdr:colOff>0</xdr:colOff>
          <xdr:row>254</xdr:row>
          <xdr:rowOff>47625</xdr:rowOff>
        </xdr:to>
        <xdr:sp macro="" textlink="">
          <xdr:nvSpPr>
            <xdr:cNvPr id="108765" name="Check Box 3293" hidden="1">
              <a:extLst>
                <a:ext uri="{63B3BB69-23CF-44E3-9099-C40C66FF867C}">
                  <a14:compatExt spid="_x0000_s108765"/>
                </a:ext>
                <a:ext uri="{FF2B5EF4-FFF2-40B4-BE49-F238E27FC236}">
                  <a16:creationId xmlns:a16="http://schemas.microsoft.com/office/drawing/2014/main" id="{00000000-0008-0000-0200-0000D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254</xdr:row>
          <xdr:rowOff>0</xdr:rowOff>
        </xdr:from>
        <xdr:to>
          <xdr:col>5</xdr:col>
          <xdr:colOff>0</xdr:colOff>
          <xdr:row>255</xdr:row>
          <xdr:rowOff>47625</xdr:rowOff>
        </xdr:to>
        <xdr:sp macro="" textlink="">
          <xdr:nvSpPr>
            <xdr:cNvPr id="108766" name="Check Box 3294" hidden="1">
              <a:extLst>
                <a:ext uri="{63B3BB69-23CF-44E3-9099-C40C66FF867C}">
                  <a14:compatExt spid="_x0000_s108766"/>
                </a:ext>
                <a:ext uri="{FF2B5EF4-FFF2-40B4-BE49-F238E27FC236}">
                  <a16:creationId xmlns:a16="http://schemas.microsoft.com/office/drawing/2014/main" id="{00000000-0008-0000-0200-0000D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255</xdr:row>
          <xdr:rowOff>0</xdr:rowOff>
        </xdr:from>
        <xdr:to>
          <xdr:col>5</xdr:col>
          <xdr:colOff>0</xdr:colOff>
          <xdr:row>256</xdr:row>
          <xdr:rowOff>47625</xdr:rowOff>
        </xdr:to>
        <xdr:sp macro="" textlink="">
          <xdr:nvSpPr>
            <xdr:cNvPr id="108767" name="Check Box 3295" hidden="1">
              <a:extLst>
                <a:ext uri="{63B3BB69-23CF-44E3-9099-C40C66FF867C}">
                  <a14:compatExt spid="_x0000_s108767"/>
                </a:ext>
                <a:ext uri="{FF2B5EF4-FFF2-40B4-BE49-F238E27FC236}">
                  <a16:creationId xmlns:a16="http://schemas.microsoft.com/office/drawing/2014/main" id="{00000000-0008-0000-0200-0000D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256</xdr:row>
          <xdr:rowOff>0</xdr:rowOff>
        </xdr:from>
        <xdr:to>
          <xdr:col>5</xdr:col>
          <xdr:colOff>0</xdr:colOff>
          <xdr:row>257</xdr:row>
          <xdr:rowOff>47625</xdr:rowOff>
        </xdr:to>
        <xdr:sp macro="" textlink="">
          <xdr:nvSpPr>
            <xdr:cNvPr id="108768" name="Check Box 3296" hidden="1">
              <a:extLst>
                <a:ext uri="{63B3BB69-23CF-44E3-9099-C40C66FF867C}">
                  <a14:compatExt spid="_x0000_s108768"/>
                </a:ext>
                <a:ext uri="{FF2B5EF4-FFF2-40B4-BE49-F238E27FC236}">
                  <a16:creationId xmlns:a16="http://schemas.microsoft.com/office/drawing/2014/main" id="{00000000-0008-0000-0200-0000E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257</xdr:row>
          <xdr:rowOff>0</xdr:rowOff>
        </xdr:from>
        <xdr:to>
          <xdr:col>5</xdr:col>
          <xdr:colOff>0</xdr:colOff>
          <xdr:row>258</xdr:row>
          <xdr:rowOff>47625</xdr:rowOff>
        </xdr:to>
        <xdr:sp macro="" textlink="">
          <xdr:nvSpPr>
            <xdr:cNvPr id="108769" name="Check Box 3297" hidden="1">
              <a:extLst>
                <a:ext uri="{63B3BB69-23CF-44E3-9099-C40C66FF867C}">
                  <a14:compatExt spid="_x0000_s108769"/>
                </a:ext>
                <a:ext uri="{FF2B5EF4-FFF2-40B4-BE49-F238E27FC236}">
                  <a16:creationId xmlns:a16="http://schemas.microsoft.com/office/drawing/2014/main" id="{00000000-0008-0000-0200-0000E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258</xdr:row>
          <xdr:rowOff>0</xdr:rowOff>
        </xdr:from>
        <xdr:to>
          <xdr:col>5</xdr:col>
          <xdr:colOff>0</xdr:colOff>
          <xdr:row>259</xdr:row>
          <xdr:rowOff>47625</xdr:rowOff>
        </xdr:to>
        <xdr:sp macro="" textlink="">
          <xdr:nvSpPr>
            <xdr:cNvPr id="108770" name="Check Box 3298" hidden="1">
              <a:extLst>
                <a:ext uri="{63B3BB69-23CF-44E3-9099-C40C66FF867C}">
                  <a14:compatExt spid="_x0000_s108770"/>
                </a:ext>
                <a:ext uri="{FF2B5EF4-FFF2-40B4-BE49-F238E27FC236}">
                  <a16:creationId xmlns:a16="http://schemas.microsoft.com/office/drawing/2014/main" id="{00000000-0008-0000-0200-0000E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259</xdr:row>
          <xdr:rowOff>0</xdr:rowOff>
        </xdr:from>
        <xdr:to>
          <xdr:col>5</xdr:col>
          <xdr:colOff>0</xdr:colOff>
          <xdr:row>260</xdr:row>
          <xdr:rowOff>47625</xdr:rowOff>
        </xdr:to>
        <xdr:sp macro="" textlink="">
          <xdr:nvSpPr>
            <xdr:cNvPr id="108771" name="Check Box 3299" hidden="1">
              <a:extLst>
                <a:ext uri="{63B3BB69-23CF-44E3-9099-C40C66FF867C}">
                  <a14:compatExt spid="_x0000_s108771"/>
                </a:ext>
                <a:ext uri="{FF2B5EF4-FFF2-40B4-BE49-F238E27FC236}">
                  <a16:creationId xmlns:a16="http://schemas.microsoft.com/office/drawing/2014/main" id="{00000000-0008-0000-0200-0000E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260</xdr:row>
          <xdr:rowOff>0</xdr:rowOff>
        </xdr:from>
        <xdr:to>
          <xdr:col>5</xdr:col>
          <xdr:colOff>0</xdr:colOff>
          <xdr:row>261</xdr:row>
          <xdr:rowOff>47625</xdr:rowOff>
        </xdr:to>
        <xdr:sp macro="" textlink="">
          <xdr:nvSpPr>
            <xdr:cNvPr id="108772" name="Check Box 3300" hidden="1">
              <a:extLst>
                <a:ext uri="{63B3BB69-23CF-44E3-9099-C40C66FF867C}">
                  <a14:compatExt spid="_x0000_s108772"/>
                </a:ext>
                <a:ext uri="{FF2B5EF4-FFF2-40B4-BE49-F238E27FC236}">
                  <a16:creationId xmlns:a16="http://schemas.microsoft.com/office/drawing/2014/main" id="{00000000-0008-0000-0200-0000E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261</xdr:row>
          <xdr:rowOff>0</xdr:rowOff>
        </xdr:from>
        <xdr:to>
          <xdr:col>5</xdr:col>
          <xdr:colOff>0</xdr:colOff>
          <xdr:row>262</xdr:row>
          <xdr:rowOff>47625</xdr:rowOff>
        </xdr:to>
        <xdr:sp macro="" textlink="">
          <xdr:nvSpPr>
            <xdr:cNvPr id="108773" name="Check Box 3301" hidden="1">
              <a:extLst>
                <a:ext uri="{63B3BB69-23CF-44E3-9099-C40C66FF867C}">
                  <a14:compatExt spid="_x0000_s108773"/>
                </a:ext>
                <a:ext uri="{FF2B5EF4-FFF2-40B4-BE49-F238E27FC236}">
                  <a16:creationId xmlns:a16="http://schemas.microsoft.com/office/drawing/2014/main" id="{00000000-0008-0000-0200-0000E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262</xdr:row>
          <xdr:rowOff>0</xdr:rowOff>
        </xdr:from>
        <xdr:to>
          <xdr:col>5</xdr:col>
          <xdr:colOff>0</xdr:colOff>
          <xdr:row>263</xdr:row>
          <xdr:rowOff>47625</xdr:rowOff>
        </xdr:to>
        <xdr:sp macro="" textlink="">
          <xdr:nvSpPr>
            <xdr:cNvPr id="108774" name="Check Box 3302" hidden="1">
              <a:extLst>
                <a:ext uri="{63B3BB69-23CF-44E3-9099-C40C66FF867C}">
                  <a14:compatExt spid="_x0000_s108774"/>
                </a:ext>
                <a:ext uri="{FF2B5EF4-FFF2-40B4-BE49-F238E27FC236}">
                  <a16:creationId xmlns:a16="http://schemas.microsoft.com/office/drawing/2014/main" id="{00000000-0008-0000-0200-0000E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263</xdr:row>
          <xdr:rowOff>0</xdr:rowOff>
        </xdr:from>
        <xdr:to>
          <xdr:col>5</xdr:col>
          <xdr:colOff>0</xdr:colOff>
          <xdr:row>264</xdr:row>
          <xdr:rowOff>47625</xdr:rowOff>
        </xdr:to>
        <xdr:sp macro="" textlink="">
          <xdr:nvSpPr>
            <xdr:cNvPr id="108775" name="Check Box 3303" hidden="1">
              <a:extLst>
                <a:ext uri="{63B3BB69-23CF-44E3-9099-C40C66FF867C}">
                  <a14:compatExt spid="_x0000_s108775"/>
                </a:ext>
                <a:ext uri="{FF2B5EF4-FFF2-40B4-BE49-F238E27FC236}">
                  <a16:creationId xmlns:a16="http://schemas.microsoft.com/office/drawing/2014/main" id="{00000000-0008-0000-0200-0000E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264</xdr:row>
          <xdr:rowOff>0</xdr:rowOff>
        </xdr:from>
        <xdr:to>
          <xdr:col>5</xdr:col>
          <xdr:colOff>0</xdr:colOff>
          <xdr:row>265</xdr:row>
          <xdr:rowOff>47625</xdr:rowOff>
        </xdr:to>
        <xdr:sp macro="" textlink="">
          <xdr:nvSpPr>
            <xdr:cNvPr id="108776" name="Check Box 3304" hidden="1">
              <a:extLst>
                <a:ext uri="{63B3BB69-23CF-44E3-9099-C40C66FF867C}">
                  <a14:compatExt spid="_x0000_s108776"/>
                </a:ext>
                <a:ext uri="{FF2B5EF4-FFF2-40B4-BE49-F238E27FC236}">
                  <a16:creationId xmlns:a16="http://schemas.microsoft.com/office/drawing/2014/main" id="{00000000-0008-0000-0200-0000E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265</xdr:row>
          <xdr:rowOff>0</xdr:rowOff>
        </xdr:from>
        <xdr:to>
          <xdr:col>5</xdr:col>
          <xdr:colOff>0</xdr:colOff>
          <xdr:row>266</xdr:row>
          <xdr:rowOff>47625</xdr:rowOff>
        </xdr:to>
        <xdr:sp macro="" textlink="">
          <xdr:nvSpPr>
            <xdr:cNvPr id="108777" name="Check Box 3305" hidden="1">
              <a:extLst>
                <a:ext uri="{63B3BB69-23CF-44E3-9099-C40C66FF867C}">
                  <a14:compatExt spid="_x0000_s108777"/>
                </a:ext>
                <a:ext uri="{FF2B5EF4-FFF2-40B4-BE49-F238E27FC236}">
                  <a16:creationId xmlns:a16="http://schemas.microsoft.com/office/drawing/2014/main" id="{00000000-0008-0000-0200-0000E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266</xdr:row>
          <xdr:rowOff>0</xdr:rowOff>
        </xdr:from>
        <xdr:to>
          <xdr:col>5</xdr:col>
          <xdr:colOff>0</xdr:colOff>
          <xdr:row>267</xdr:row>
          <xdr:rowOff>47625</xdr:rowOff>
        </xdr:to>
        <xdr:sp macro="" textlink="">
          <xdr:nvSpPr>
            <xdr:cNvPr id="108778" name="Check Box 3306" hidden="1">
              <a:extLst>
                <a:ext uri="{63B3BB69-23CF-44E3-9099-C40C66FF867C}">
                  <a14:compatExt spid="_x0000_s108778"/>
                </a:ext>
                <a:ext uri="{FF2B5EF4-FFF2-40B4-BE49-F238E27FC236}">
                  <a16:creationId xmlns:a16="http://schemas.microsoft.com/office/drawing/2014/main" id="{00000000-0008-0000-0200-0000E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267</xdr:row>
          <xdr:rowOff>0</xdr:rowOff>
        </xdr:from>
        <xdr:to>
          <xdr:col>5</xdr:col>
          <xdr:colOff>0</xdr:colOff>
          <xdr:row>268</xdr:row>
          <xdr:rowOff>47625</xdr:rowOff>
        </xdr:to>
        <xdr:sp macro="" textlink="">
          <xdr:nvSpPr>
            <xdr:cNvPr id="108779" name="Check Box 3307" hidden="1">
              <a:extLst>
                <a:ext uri="{63B3BB69-23CF-44E3-9099-C40C66FF867C}">
                  <a14:compatExt spid="_x0000_s108779"/>
                </a:ext>
                <a:ext uri="{FF2B5EF4-FFF2-40B4-BE49-F238E27FC236}">
                  <a16:creationId xmlns:a16="http://schemas.microsoft.com/office/drawing/2014/main" id="{00000000-0008-0000-0200-0000E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268</xdr:row>
          <xdr:rowOff>0</xdr:rowOff>
        </xdr:from>
        <xdr:to>
          <xdr:col>5</xdr:col>
          <xdr:colOff>0</xdr:colOff>
          <xdr:row>269</xdr:row>
          <xdr:rowOff>47625</xdr:rowOff>
        </xdr:to>
        <xdr:sp macro="" textlink="">
          <xdr:nvSpPr>
            <xdr:cNvPr id="108780" name="Check Box 3308" hidden="1">
              <a:extLst>
                <a:ext uri="{63B3BB69-23CF-44E3-9099-C40C66FF867C}">
                  <a14:compatExt spid="_x0000_s108780"/>
                </a:ext>
                <a:ext uri="{FF2B5EF4-FFF2-40B4-BE49-F238E27FC236}">
                  <a16:creationId xmlns:a16="http://schemas.microsoft.com/office/drawing/2014/main" id="{00000000-0008-0000-0200-0000E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269</xdr:row>
          <xdr:rowOff>0</xdr:rowOff>
        </xdr:from>
        <xdr:to>
          <xdr:col>5</xdr:col>
          <xdr:colOff>0</xdr:colOff>
          <xdr:row>270</xdr:row>
          <xdr:rowOff>47625</xdr:rowOff>
        </xdr:to>
        <xdr:sp macro="" textlink="">
          <xdr:nvSpPr>
            <xdr:cNvPr id="108781" name="Check Box 3309" hidden="1">
              <a:extLst>
                <a:ext uri="{63B3BB69-23CF-44E3-9099-C40C66FF867C}">
                  <a14:compatExt spid="_x0000_s108781"/>
                </a:ext>
                <a:ext uri="{FF2B5EF4-FFF2-40B4-BE49-F238E27FC236}">
                  <a16:creationId xmlns:a16="http://schemas.microsoft.com/office/drawing/2014/main" id="{00000000-0008-0000-0200-0000E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270</xdr:row>
          <xdr:rowOff>0</xdr:rowOff>
        </xdr:from>
        <xdr:to>
          <xdr:col>5</xdr:col>
          <xdr:colOff>0</xdr:colOff>
          <xdr:row>271</xdr:row>
          <xdr:rowOff>47625</xdr:rowOff>
        </xdr:to>
        <xdr:sp macro="" textlink="">
          <xdr:nvSpPr>
            <xdr:cNvPr id="108782" name="Check Box 3310" hidden="1">
              <a:extLst>
                <a:ext uri="{63B3BB69-23CF-44E3-9099-C40C66FF867C}">
                  <a14:compatExt spid="_x0000_s108782"/>
                </a:ext>
                <a:ext uri="{FF2B5EF4-FFF2-40B4-BE49-F238E27FC236}">
                  <a16:creationId xmlns:a16="http://schemas.microsoft.com/office/drawing/2014/main" id="{00000000-0008-0000-0200-0000E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271</xdr:row>
          <xdr:rowOff>0</xdr:rowOff>
        </xdr:from>
        <xdr:to>
          <xdr:col>5</xdr:col>
          <xdr:colOff>0</xdr:colOff>
          <xdr:row>272</xdr:row>
          <xdr:rowOff>47625</xdr:rowOff>
        </xdr:to>
        <xdr:sp macro="" textlink="">
          <xdr:nvSpPr>
            <xdr:cNvPr id="108783" name="Check Box 3311" hidden="1">
              <a:extLst>
                <a:ext uri="{63B3BB69-23CF-44E3-9099-C40C66FF867C}">
                  <a14:compatExt spid="_x0000_s108783"/>
                </a:ext>
                <a:ext uri="{FF2B5EF4-FFF2-40B4-BE49-F238E27FC236}">
                  <a16:creationId xmlns:a16="http://schemas.microsoft.com/office/drawing/2014/main" id="{00000000-0008-0000-0200-0000E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272</xdr:row>
          <xdr:rowOff>0</xdr:rowOff>
        </xdr:from>
        <xdr:to>
          <xdr:col>5</xdr:col>
          <xdr:colOff>0</xdr:colOff>
          <xdr:row>273</xdr:row>
          <xdr:rowOff>47625</xdr:rowOff>
        </xdr:to>
        <xdr:sp macro="" textlink="">
          <xdr:nvSpPr>
            <xdr:cNvPr id="108784" name="Check Box 3312" hidden="1">
              <a:extLst>
                <a:ext uri="{63B3BB69-23CF-44E3-9099-C40C66FF867C}">
                  <a14:compatExt spid="_x0000_s108784"/>
                </a:ext>
                <a:ext uri="{FF2B5EF4-FFF2-40B4-BE49-F238E27FC236}">
                  <a16:creationId xmlns:a16="http://schemas.microsoft.com/office/drawing/2014/main" id="{00000000-0008-0000-0200-0000F0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273</xdr:row>
          <xdr:rowOff>0</xdr:rowOff>
        </xdr:from>
        <xdr:to>
          <xdr:col>5</xdr:col>
          <xdr:colOff>0</xdr:colOff>
          <xdr:row>274</xdr:row>
          <xdr:rowOff>47625</xdr:rowOff>
        </xdr:to>
        <xdr:sp macro="" textlink="">
          <xdr:nvSpPr>
            <xdr:cNvPr id="108785" name="Check Box 3313" hidden="1">
              <a:extLst>
                <a:ext uri="{63B3BB69-23CF-44E3-9099-C40C66FF867C}">
                  <a14:compatExt spid="_x0000_s108785"/>
                </a:ext>
                <a:ext uri="{FF2B5EF4-FFF2-40B4-BE49-F238E27FC236}">
                  <a16:creationId xmlns:a16="http://schemas.microsoft.com/office/drawing/2014/main" id="{00000000-0008-0000-0200-0000F1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274</xdr:row>
          <xdr:rowOff>0</xdr:rowOff>
        </xdr:from>
        <xdr:to>
          <xdr:col>5</xdr:col>
          <xdr:colOff>0</xdr:colOff>
          <xdr:row>275</xdr:row>
          <xdr:rowOff>47625</xdr:rowOff>
        </xdr:to>
        <xdr:sp macro="" textlink="">
          <xdr:nvSpPr>
            <xdr:cNvPr id="108786" name="Check Box 3314" hidden="1">
              <a:extLst>
                <a:ext uri="{63B3BB69-23CF-44E3-9099-C40C66FF867C}">
                  <a14:compatExt spid="_x0000_s108786"/>
                </a:ext>
                <a:ext uri="{FF2B5EF4-FFF2-40B4-BE49-F238E27FC236}">
                  <a16:creationId xmlns:a16="http://schemas.microsoft.com/office/drawing/2014/main" id="{00000000-0008-0000-0200-0000F2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275</xdr:row>
          <xdr:rowOff>0</xdr:rowOff>
        </xdr:from>
        <xdr:to>
          <xdr:col>5</xdr:col>
          <xdr:colOff>0</xdr:colOff>
          <xdr:row>276</xdr:row>
          <xdr:rowOff>47625</xdr:rowOff>
        </xdr:to>
        <xdr:sp macro="" textlink="">
          <xdr:nvSpPr>
            <xdr:cNvPr id="108787" name="Check Box 3315" hidden="1">
              <a:extLst>
                <a:ext uri="{63B3BB69-23CF-44E3-9099-C40C66FF867C}">
                  <a14:compatExt spid="_x0000_s108787"/>
                </a:ext>
                <a:ext uri="{FF2B5EF4-FFF2-40B4-BE49-F238E27FC236}">
                  <a16:creationId xmlns:a16="http://schemas.microsoft.com/office/drawing/2014/main" id="{00000000-0008-0000-0200-0000F3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276</xdr:row>
          <xdr:rowOff>0</xdr:rowOff>
        </xdr:from>
        <xdr:to>
          <xdr:col>5</xdr:col>
          <xdr:colOff>0</xdr:colOff>
          <xdr:row>277</xdr:row>
          <xdr:rowOff>47625</xdr:rowOff>
        </xdr:to>
        <xdr:sp macro="" textlink="">
          <xdr:nvSpPr>
            <xdr:cNvPr id="108788" name="Check Box 3316" hidden="1">
              <a:extLst>
                <a:ext uri="{63B3BB69-23CF-44E3-9099-C40C66FF867C}">
                  <a14:compatExt spid="_x0000_s108788"/>
                </a:ext>
                <a:ext uri="{FF2B5EF4-FFF2-40B4-BE49-F238E27FC236}">
                  <a16:creationId xmlns:a16="http://schemas.microsoft.com/office/drawing/2014/main" id="{00000000-0008-0000-0200-0000F4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277</xdr:row>
          <xdr:rowOff>0</xdr:rowOff>
        </xdr:from>
        <xdr:to>
          <xdr:col>5</xdr:col>
          <xdr:colOff>0</xdr:colOff>
          <xdr:row>278</xdr:row>
          <xdr:rowOff>47625</xdr:rowOff>
        </xdr:to>
        <xdr:sp macro="" textlink="">
          <xdr:nvSpPr>
            <xdr:cNvPr id="108789" name="Check Box 3317" hidden="1">
              <a:extLst>
                <a:ext uri="{63B3BB69-23CF-44E3-9099-C40C66FF867C}">
                  <a14:compatExt spid="_x0000_s108789"/>
                </a:ext>
                <a:ext uri="{FF2B5EF4-FFF2-40B4-BE49-F238E27FC236}">
                  <a16:creationId xmlns:a16="http://schemas.microsoft.com/office/drawing/2014/main" id="{00000000-0008-0000-0200-0000F5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278</xdr:row>
          <xdr:rowOff>0</xdr:rowOff>
        </xdr:from>
        <xdr:to>
          <xdr:col>5</xdr:col>
          <xdr:colOff>0</xdr:colOff>
          <xdr:row>279</xdr:row>
          <xdr:rowOff>47625</xdr:rowOff>
        </xdr:to>
        <xdr:sp macro="" textlink="">
          <xdr:nvSpPr>
            <xdr:cNvPr id="108790" name="Check Box 3318" hidden="1">
              <a:extLst>
                <a:ext uri="{63B3BB69-23CF-44E3-9099-C40C66FF867C}">
                  <a14:compatExt spid="_x0000_s108790"/>
                </a:ext>
                <a:ext uri="{FF2B5EF4-FFF2-40B4-BE49-F238E27FC236}">
                  <a16:creationId xmlns:a16="http://schemas.microsoft.com/office/drawing/2014/main" id="{00000000-0008-0000-0200-0000F6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279</xdr:row>
          <xdr:rowOff>0</xdr:rowOff>
        </xdr:from>
        <xdr:to>
          <xdr:col>5</xdr:col>
          <xdr:colOff>0</xdr:colOff>
          <xdr:row>280</xdr:row>
          <xdr:rowOff>47625</xdr:rowOff>
        </xdr:to>
        <xdr:sp macro="" textlink="">
          <xdr:nvSpPr>
            <xdr:cNvPr id="108791" name="Check Box 3319" hidden="1">
              <a:extLst>
                <a:ext uri="{63B3BB69-23CF-44E3-9099-C40C66FF867C}">
                  <a14:compatExt spid="_x0000_s108791"/>
                </a:ext>
                <a:ext uri="{FF2B5EF4-FFF2-40B4-BE49-F238E27FC236}">
                  <a16:creationId xmlns:a16="http://schemas.microsoft.com/office/drawing/2014/main" id="{00000000-0008-0000-0200-0000F7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280</xdr:row>
          <xdr:rowOff>0</xdr:rowOff>
        </xdr:from>
        <xdr:to>
          <xdr:col>5</xdr:col>
          <xdr:colOff>0</xdr:colOff>
          <xdr:row>281</xdr:row>
          <xdr:rowOff>47625</xdr:rowOff>
        </xdr:to>
        <xdr:sp macro="" textlink="">
          <xdr:nvSpPr>
            <xdr:cNvPr id="108792" name="Check Box 3320" hidden="1">
              <a:extLst>
                <a:ext uri="{63B3BB69-23CF-44E3-9099-C40C66FF867C}">
                  <a14:compatExt spid="_x0000_s108792"/>
                </a:ext>
                <a:ext uri="{FF2B5EF4-FFF2-40B4-BE49-F238E27FC236}">
                  <a16:creationId xmlns:a16="http://schemas.microsoft.com/office/drawing/2014/main" id="{00000000-0008-0000-0200-0000F8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281</xdr:row>
          <xdr:rowOff>0</xdr:rowOff>
        </xdr:from>
        <xdr:to>
          <xdr:col>5</xdr:col>
          <xdr:colOff>0</xdr:colOff>
          <xdr:row>282</xdr:row>
          <xdr:rowOff>47625</xdr:rowOff>
        </xdr:to>
        <xdr:sp macro="" textlink="">
          <xdr:nvSpPr>
            <xdr:cNvPr id="108793" name="Check Box 3321" hidden="1">
              <a:extLst>
                <a:ext uri="{63B3BB69-23CF-44E3-9099-C40C66FF867C}">
                  <a14:compatExt spid="_x0000_s108793"/>
                </a:ext>
                <a:ext uri="{FF2B5EF4-FFF2-40B4-BE49-F238E27FC236}">
                  <a16:creationId xmlns:a16="http://schemas.microsoft.com/office/drawing/2014/main" id="{00000000-0008-0000-0200-0000F9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282</xdr:row>
          <xdr:rowOff>0</xdr:rowOff>
        </xdr:from>
        <xdr:to>
          <xdr:col>5</xdr:col>
          <xdr:colOff>0</xdr:colOff>
          <xdr:row>283</xdr:row>
          <xdr:rowOff>47625</xdr:rowOff>
        </xdr:to>
        <xdr:sp macro="" textlink="">
          <xdr:nvSpPr>
            <xdr:cNvPr id="108794" name="Check Box 3322" hidden="1">
              <a:extLst>
                <a:ext uri="{63B3BB69-23CF-44E3-9099-C40C66FF867C}">
                  <a14:compatExt spid="_x0000_s108794"/>
                </a:ext>
                <a:ext uri="{FF2B5EF4-FFF2-40B4-BE49-F238E27FC236}">
                  <a16:creationId xmlns:a16="http://schemas.microsoft.com/office/drawing/2014/main" id="{00000000-0008-0000-0200-0000FA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283</xdr:row>
          <xdr:rowOff>0</xdr:rowOff>
        </xdr:from>
        <xdr:to>
          <xdr:col>5</xdr:col>
          <xdr:colOff>0</xdr:colOff>
          <xdr:row>284</xdr:row>
          <xdr:rowOff>47625</xdr:rowOff>
        </xdr:to>
        <xdr:sp macro="" textlink="">
          <xdr:nvSpPr>
            <xdr:cNvPr id="108795" name="Check Box 3323" hidden="1">
              <a:extLst>
                <a:ext uri="{63B3BB69-23CF-44E3-9099-C40C66FF867C}">
                  <a14:compatExt spid="_x0000_s108795"/>
                </a:ext>
                <a:ext uri="{FF2B5EF4-FFF2-40B4-BE49-F238E27FC236}">
                  <a16:creationId xmlns:a16="http://schemas.microsoft.com/office/drawing/2014/main" id="{00000000-0008-0000-0200-0000FB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284</xdr:row>
          <xdr:rowOff>0</xdr:rowOff>
        </xdr:from>
        <xdr:to>
          <xdr:col>5</xdr:col>
          <xdr:colOff>0</xdr:colOff>
          <xdr:row>285</xdr:row>
          <xdr:rowOff>47625</xdr:rowOff>
        </xdr:to>
        <xdr:sp macro="" textlink="">
          <xdr:nvSpPr>
            <xdr:cNvPr id="108796" name="Check Box 3324" hidden="1">
              <a:extLst>
                <a:ext uri="{63B3BB69-23CF-44E3-9099-C40C66FF867C}">
                  <a14:compatExt spid="_x0000_s108796"/>
                </a:ext>
                <a:ext uri="{FF2B5EF4-FFF2-40B4-BE49-F238E27FC236}">
                  <a16:creationId xmlns:a16="http://schemas.microsoft.com/office/drawing/2014/main" id="{00000000-0008-0000-0200-0000FC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285</xdr:row>
          <xdr:rowOff>0</xdr:rowOff>
        </xdr:from>
        <xdr:to>
          <xdr:col>5</xdr:col>
          <xdr:colOff>0</xdr:colOff>
          <xdr:row>286</xdr:row>
          <xdr:rowOff>47625</xdr:rowOff>
        </xdr:to>
        <xdr:sp macro="" textlink="">
          <xdr:nvSpPr>
            <xdr:cNvPr id="108797" name="Check Box 3325" hidden="1">
              <a:extLst>
                <a:ext uri="{63B3BB69-23CF-44E3-9099-C40C66FF867C}">
                  <a14:compatExt spid="_x0000_s108797"/>
                </a:ext>
                <a:ext uri="{FF2B5EF4-FFF2-40B4-BE49-F238E27FC236}">
                  <a16:creationId xmlns:a16="http://schemas.microsoft.com/office/drawing/2014/main" id="{00000000-0008-0000-0200-0000FD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286</xdr:row>
          <xdr:rowOff>0</xdr:rowOff>
        </xdr:from>
        <xdr:to>
          <xdr:col>5</xdr:col>
          <xdr:colOff>0</xdr:colOff>
          <xdr:row>287</xdr:row>
          <xdr:rowOff>47625</xdr:rowOff>
        </xdr:to>
        <xdr:sp macro="" textlink="">
          <xdr:nvSpPr>
            <xdr:cNvPr id="108798" name="Check Box 3326" hidden="1">
              <a:extLst>
                <a:ext uri="{63B3BB69-23CF-44E3-9099-C40C66FF867C}">
                  <a14:compatExt spid="_x0000_s108798"/>
                </a:ext>
                <a:ext uri="{FF2B5EF4-FFF2-40B4-BE49-F238E27FC236}">
                  <a16:creationId xmlns:a16="http://schemas.microsoft.com/office/drawing/2014/main" id="{00000000-0008-0000-0200-0000FE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287</xdr:row>
          <xdr:rowOff>0</xdr:rowOff>
        </xdr:from>
        <xdr:to>
          <xdr:col>5</xdr:col>
          <xdr:colOff>0</xdr:colOff>
          <xdr:row>288</xdr:row>
          <xdr:rowOff>47625</xdr:rowOff>
        </xdr:to>
        <xdr:sp macro="" textlink="">
          <xdr:nvSpPr>
            <xdr:cNvPr id="108799" name="Check Box 3327" hidden="1">
              <a:extLst>
                <a:ext uri="{63B3BB69-23CF-44E3-9099-C40C66FF867C}">
                  <a14:compatExt spid="_x0000_s108799"/>
                </a:ext>
                <a:ext uri="{FF2B5EF4-FFF2-40B4-BE49-F238E27FC236}">
                  <a16:creationId xmlns:a16="http://schemas.microsoft.com/office/drawing/2014/main" id="{00000000-0008-0000-0200-0000FFA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288</xdr:row>
          <xdr:rowOff>0</xdr:rowOff>
        </xdr:from>
        <xdr:to>
          <xdr:col>5</xdr:col>
          <xdr:colOff>0</xdr:colOff>
          <xdr:row>289</xdr:row>
          <xdr:rowOff>47625</xdr:rowOff>
        </xdr:to>
        <xdr:sp macro="" textlink="">
          <xdr:nvSpPr>
            <xdr:cNvPr id="108800" name="Check Box 3328" hidden="1">
              <a:extLst>
                <a:ext uri="{63B3BB69-23CF-44E3-9099-C40C66FF867C}">
                  <a14:compatExt spid="_x0000_s108800"/>
                </a:ext>
                <a:ext uri="{FF2B5EF4-FFF2-40B4-BE49-F238E27FC236}">
                  <a16:creationId xmlns:a16="http://schemas.microsoft.com/office/drawing/2014/main" id="{00000000-0008-0000-0200-00000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289</xdr:row>
          <xdr:rowOff>0</xdr:rowOff>
        </xdr:from>
        <xdr:to>
          <xdr:col>5</xdr:col>
          <xdr:colOff>0</xdr:colOff>
          <xdr:row>290</xdr:row>
          <xdr:rowOff>47625</xdr:rowOff>
        </xdr:to>
        <xdr:sp macro="" textlink="">
          <xdr:nvSpPr>
            <xdr:cNvPr id="108801" name="Check Box 3329" hidden="1">
              <a:extLst>
                <a:ext uri="{63B3BB69-23CF-44E3-9099-C40C66FF867C}">
                  <a14:compatExt spid="_x0000_s108801"/>
                </a:ext>
                <a:ext uri="{FF2B5EF4-FFF2-40B4-BE49-F238E27FC236}">
                  <a16:creationId xmlns:a16="http://schemas.microsoft.com/office/drawing/2014/main" id="{00000000-0008-0000-0200-00000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290</xdr:row>
          <xdr:rowOff>0</xdr:rowOff>
        </xdr:from>
        <xdr:to>
          <xdr:col>5</xdr:col>
          <xdr:colOff>0</xdr:colOff>
          <xdr:row>291</xdr:row>
          <xdr:rowOff>47625</xdr:rowOff>
        </xdr:to>
        <xdr:sp macro="" textlink="">
          <xdr:nvSpPr>
            <xdr:cNvPr id="108802" name="Check Box 3330" hidden="1">
              <a:extLst>
                <a:ext uri="{63B3BB69-23CF-44E3-9099-C40C66FF867C}">
                  <a14:compatExt spid="_x0000_s108802"/>
                </a:ext>
                <a:ext uri="{FF2B5EF4-FFF2-40B4-BE49-F238E27FC236}">
                  <a16:creationId xmlns:a16="http://schemas.microsoft.com/office/drawing/2014/main" id="{00000000-0008-0000-0200-00000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291</xdr:row>
          <xdr:rowOff>0</xdr:rowOff>
        </xdr:from>
        <xdr:to>
          <xdr:col>5</xdr:col>
          <xdr:colOff>0</xdr:colOff>
          <xdr:row>292</xdr:row>
          <xdr:rowOff>47625</xdr:rowOff>
        </xdr:to>
        <xdr:sp macro="" textlink="">
          <xdr:nvSpPr>
            <xdr:cNvPr id="108803" name="Check Box 3331" hidden="1">
              <a:extLst>
                <a:ext uri="{63B3BB69-23CF-44E3-9099-C40C66FF867C}">
                  <a14:compatExt spid="_x0000_s108803"/>
                </a:ext>
                <a:ext uri="{FF2B5EF4-FFF2-40B4-BE49-F238E27FC236}">
                  <a16:creationId xmlns:a16="http://schemas.microsoft.com/office/drawing/2014/main" id="{00000000-0008-0000-0200-00000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292</xdr:row>
          <xdr:rowOff>0</xdr:rowOff>
        </xdr:from>
        <xdr:to>
          <xdr:col>5</xdr:col>
          <xdr:colOff>0</xdr:colOff>
          <xdr:row>293</xdr:row>
          <xdr:rowOff>47625</xdr:rowOff>
        </xdr:to>
        <xdr:sp macro="" textlink="">
          <xdr:nvSpPr>
            <xdr:cNvPr id="108804" name="Check Box 3332" hidden="1">
              <a:extLst>
                <a:ext uri="{63B3BB69-23CF-44E3-9099-C40C66FF867C}">
                  <a14:compatExt spid="_x0000_s108804"/>
                </a:ext>
                <a:ext uri="{FF2B5EF4-FFF2-40B4-BE49-F238E27FC236}">
                  <a16:creationId xmlns:a16="http://schemas.microsoft.com/office/drawing/2014/main" id="{00000000-0008-0000-0200-00000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293</xdr:row>
          <xdr:rowOff>0</xdr:rowOff>
        </xdr:from>
        <xdr:to>
          <xdr:col>5</xdr:col>
          <xdr:colOff>0</xdr:colOff>
          <xdr:row>294</xdr:row>
          <xdr:rowOff>47625</xdr:rowOff>
        </xdr:to>
        <xdr:sp macro="" textlink="">
          <xdr:nvSpPr>
            <xdr:cNvPr id="108805" name="Check Box 3333" hidden="1">
              <a:extLst>
                <a:ext uri="{63B3BB69-23CF-44E3-9099-C40C66FF867C}">
                  <a14:compatExt spid="_x0000_s108805"/>
                </a:ext>
                <a:ext uri="{FF2B5EF4-FFF2-40B4-BE49-F238E27FC236}">
                  <a16:creationId xmlns:a16="http://schemas.microsoft.com/office/drawing/2014/main" id="{00000000-0008-0000-0200-00000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294</xdr:row>
          <xdr:rowOff>0</xdr:rowOff>
        </xdr:from>
        <xdr:to>
          <xdr:col>5</xdr:col>
          <xdr:colOff>0</xdr:colOff>
          <xdr:row>295</xdr:row>
          <xdr:rowOff>47625</xdr:rowOff>
        </xdr:to>
        <xdr:sp macro="" textlink="">
          <xdr:nvSpPr>
            <xdr:cNvPr id="108806" name="Check Box 3334" hidden="1">
              <a:extLst>
                <a:ext uri="{63B3BB69-23CF-44E3-9099-C40C66FF867C}">
                  <a14:compatExt spid="_x0000_s108806"/>
                </a:ext>
                <a:ext uri="{FF2B5EF4-FFF2-40B4-BE49-F238E27FC236}">
                  <a16:creationId xmlns:a16="http://schemas.microsoft.com/office/drawing/2014/main" id="{00000000-0008-0000-0200-00000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295</xdr:row>
          <xdr:rowOff>0</xdr:rowOff>
        </xdr:from>
        <xdr:to>
          <xdr:col>5</xdr:col>
          <xdr:colOff>0</xdr:colOff>
          <xdr:row>296</xdr:row>
          <xdr:rowOff>47625</xdr:rowOff>
        </xdr:to>
        <xdr:sp macro="" textlink="">
          <xdr:nvSpPr>
            <xdr:cNvPr id="108807" name="Check Box 3335" hidden="1">
              <a:extLst>
                <a:ext uri="{63B3BB69-23CF-44E3-9099-C40C66FF867C}">
                  <a14:compatExt spid="_x0000_s108807"/>
                </a:ext>
                <a:ext uri="{FF2B5EF4-FFF2-40B4-BE49-F238E27FC236}">
                  <a16:creationId xmlns:a16="http://schemas.microsoft.com/office/drawing/2014/main" id="{00000000-0008-0000-0200-00000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296</xdr:row>
          <xdr:rowOff>0</xdr:rowOff>
        </xdr:from>
        <xdr:to>
          <xdr:col>5</xdr:col>
          <xdr:colOff>0</xdr:colOff>
          <xdr:row>297</xdr:row>
          <xdr:rowOff>47625</xdr:rowOff>
        </xdr:to>
        <xdr:sp macro="" textlink="">
          <xdr:nvSpPr>
            <xdr:cNvPr id="108808" name="Check Box 3336" hidden="1">
              <a:extLst>
                <a:ext uri="{63B3BB69-23CF-44E3-9099-C40C66FF867C}">
                  <a14:compatExt spid="_x0000_s108808"/>
                </a:ext>
                <a:ext uri="{FF2B5EF4-FFF2-40B4-BE49-F238E27FC236}">
                  <a16:creationId xmlns:a16="http://schemas.microsoft.com/office/drawing/2014/main" id="{00000000-0008-0000-0200-00000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297</xdr:row>
          <xdr:rowOff>0</xdr:rowOff>
        </xdr:from>
        <xdr:to>
          <xdr:col>5</xdr:col>
          <xdr:colOff>0</xdr:colOff>
          <xdr:row>298</xdr:row>
          <xdr:rowOff>47625</xdr:rowOff>
        </xdr:to>
        <xdr:sp macro="" textlink="">
          <xdr:nvSpPr>
            <xdr:cNvPr id="108809" name="Check Box 3337" hidden="1">
              <a:extLst>
                <a:ext uri="{63B3BB69-23CF-44E3-9099-C40C66FF867C}">
                  <a14:compatExt spid="_x0000_s108809"/>
                </a:ext>
                <a:ext uri="{FF2B5EF4-FFF2-40B4-BE49-F238E27FC236}">
                  <a16:creationId xmlns:a16="http://schemas.microsoft.com/office/drawing/2014/main" id="{00000000-0008-0000-0200-00000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298</xdr:row>
          <xdr:rowOff>0</xdr:rowOff>
        </xdr:from>
        <xdr:to>
          <xdr:col>5</xdr:col>
          <xdr:colOff>0</xdr:colOff>
          <xdr:row>299</xdr:row>
          <xdr:rowOff>47625</xdr:rowOff>
        </xdr:to>
        <xdr:sp macro="" textlink="">
          <xdr:nvSpPr>
            <xdr:cNvPr id="108810" name="Check Box 3338" hidden="1">
              <a:extLst>
                <a:ext uri="{63B3BB69-23CF-44E3-9099-C40C66FF867C}">
                  <a14:compatExt spid="_x0000_s108810"/>
                </a:ext>
                <a:ext uri="{FF2B5EF4-FFF2-40B4-BE49-F238E27FC236}">
                  <a16:creationId xmlns:a16="http://schemas.microsoft.com/office/drawing/2014/main" id="{00000000-0008-0000-0200-00000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299</xdr:row>
          <xdr:rowOff>0</xdr:rowOff>
        </xdr:from>
        <xdr:to>
          <xdr:col>5</xdr:col>
          <xdr:colOff>0</xdr:colOff>
          <xdr:row>300</xdr:row>
          <xdr:rowOff>47625</xdr:rowOff>
        </xdr:to>
        <xdr:sp macro="" textlink="">
          <xdr:nvSpPr>
            <xdr:cNvPr id="108811" name="Check Box 3339" hidden="1">
              <a:extLst>
                <a:ext uri="{63B3BB69-23CF-44E3-9099-C40C66FF867C}">
                  <a14:compatExt spid="_x0000_s108811"/>
                </a:ext>
                <a:ext uri="{FF2B5EF4-FFF2-40B4-BE49-F238E27FC236}">
                  <a16:creationId xmlns:a16="http://schemas.microsoft.com/office/drawing/2014/main" id="{00000000-0008-0000-0200-00000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300</xdr:row>
          <xdr:rowOff>0</xdr:rowOff>
        </xdr:from>
        <xdr:to>
          <xdr:col>5</xdr:col>
          <xdr:colOff>0</xdr:colOff>
          <xdr:row>301</xdr:row>
          <xdr:rowOff>47625</xdr:rowOff>
        </xdr:to>
        <xdr:sp macro="" textlink="">
          <xdr:nvSpPr>
            <xdr:cNvPr id="108812" name="Check Box 3340" hidden="1">
              <a:extLst>
                <a:ext uri="{63B3BB69-23CF-44E3-9099-C40C66FF867C}">
                  <a14:compatExt spid="_x0000_s108812"/>
                </a:ext>
                <a:ext uri="{FF2B5EF4-FFF2-40B4-BE49-F238E27FC236}">
                  <a16:creationId xmlns:a16="http://schemas.microsoft.com/office/drawing/2014/main" id="{00000000-0008-0000-0200-00000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301</xdr:row>
          <xdr:rowOff>0</xdr:rowOff>
        </xdr:from>
        <xdr:to>
          <xdr:col>5</xdr:col>
          <xdr:colOff>0</xdr:colOff>
          <xdr:row>302</xdr:row>
          <xdr:rowOff>47625</xdr:rowOff>
        </xdr:to>
        <xdr:sp macro="" textlink="">
          <xdr:nvSpPr>
            <xdr:cNvPr id="108813" name="Check Box 3341" hidden="1">
              <a:extLst>
                <a:ext uri="{63B3BB69-23CF-44E3-9099-C40C66FF867C}">
                  <a14:compatExt spid="_x0000_s108813"/>
                </a:ext>
                <a:ext uri="{FF2B5EF4-FFF2-40B4-BE49-F238E27FC236}">
                  <a16:creationId xmlns:a16="http://schemas.microsoft.com/office/drawing/2014/main" id="{00000000-0008-0000-0200-00000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302</xdr:row>
          <xdr:rowOff>0</xdr:rowOff>
        </xdr:from>
        <xdr:to>
          <xdr:col>5</xdr:col>
          <xdr:colOff>0</xdr:colOff>
          <xdr:row>303</xdr:row>
          <xdr:rowOff>47625</xdr:rowOff>
        </xdr:to>
        <xdr:sp macro="" textlink="">
          <xdr:nvSpPr>
            <xdr:cNvPr id="108814" name="Check Box 3342" hidden="1">
              <a:extLst>
                <a:ext uri="{63B3BB69-23CF-44E3-9099-C40C66FF867C}">
                  <a14:compatExt spid="_x0000_s108814"/>
                </a:ext>
                <a:ext uri="{FF2B5EF4-FFF2-40B4-BE49-F238E27FC236}">
                  <a16:creationId xmlns:a16="http://schemas.microsoft.com/office/drawing/2014/main" id="{00000000-0008-0000-0200-00000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303</xdr:row>
          <xdr:rowOff>0</xdr:rowOff>
        </xdr:from>
        <xdr:to>
          <xdr:col>5</xdr:col>
          <xdr:colOff>0</xdr:colOff>
          <xdr:row>304</xdr:row>
          <xdr:rowOff>47625</xdr:rowOff>
        </xdr:to>
        <xdr:sp macro="" textlink="">
          <xdr:nvSpPr>
            <xdr:cNvPr id="108815" name="Check Box 3343" hidden="1">
              <a:extLst>
                <a:ext uri="{63B3BB69-23CF-44E3-9099-C40C66FF867C}">
                  <a14:compatExt spid="_x0000_s108815"/>
                </a:ext>
                <a:ext uri="{FF2B5EF4-FFF2-40B4-BE49-F238E27FC236}">
                  <a16:creationId xmlns:a16="http://schemas.microsoft.com/office/drawing/2014/main" id="{00000000-0008-0000-0200-00000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304</xdr:row>
          <xdr:rowOff>0</xdr:rowOff>
        </xdr:from>
        <xdr:to>
          <xdr:col>5</xdr:col>
          <xdr:colOff>0</xdr:colOff>
          <xdr:row>305</xdr:row>
          <xdr:rowOff>47625</xdr:rowOff>
        </xdr:to>
        <xdr:sp macro="" textlink="">
          <xdr:nvSpPr>
            <xdr:cNvPr id="108816" name="Check Box 3344" hidden="1">
              <a:extLst>
                <a:ext uri="{63B3BB69-23CF-44E3-9099-C40C66FF867C}">
                  <a14:compatExt spid="_x0000_s108816"/>
                </a:ext>
                <a:ext uri="{FF2B5EF4-FFF2-40B4-BE49-F238E27FC236}">
                  <a16:creationId xmlns:a16="http://schemas.microsoft.com/office/drawing/2014/main" id="{00000000-0008-0000-0200-00001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305</xdr:row>
          <xdr:rowOff>0</xdr:rowOff>
        </xdr:from>
        <xdr:to>
          <xdr:col>5</xdr:col>
          <xdr:colOff>0</xdr:colOff>
          <xdr:row>306</xdr:row>
          <xdr:rowOff>47625</xdr:rowOff>
        </xdr:to>
        <xdr:sp macro="" textlink="">
          <xdr:nvSpPr>
            <xdr:cNvPr id="108817" name="Check Box 3345" hidden="1">
              <a:extLst>
                <a:ext uri="{63B3BB69-23CF-44E3-9099-C40C66FF867C}">
                  <a14:compatExt spid="_x0000_s108817"/>
                </a:ext>
                <a:ext uri="{FF2B5EF4-FFF2-40B4-BE49-F238E27FC236}">
                  <a16:creationId xmlns:a16="http://schemas.microsoft.com/office/drawing/2014/main" id="{00000000-0008-0000-0200-00001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306</xdr:row>
          <xdr:rowOff>0</xdr:rowOff>
        </xdr:from>
        <xdr:to>
          <xdr:col>5</xdr:col>
          <xdr:colOff>0</xdr:colOff>
          <xdr:row>307</xdr:row>
          <xdr:rowOff>47625</xdr:rowOff>
        </xdr:to>
        <xdr:sp macro="" textlink="">
          <xdr:nvSpPr>
            <xdr:cNvPr id="108818" name="Check Box 3346" hidden="1">
              <a:extLst>
                <a:ext uri="{63B3BB69-23CF-44E3-9099-C40C66FF867C}">
                  <a14:compatExt spid="_x0000_s108818"/>
                </a:ext>
                <a:ext uri="{FF2B5EF4-FFF2-40B4-BE49-F238E27FC236}">
                  <a16:creationId xmlns:a16="http://schemas.microsoft.com/office/drawing/2014/main" id="{00000000-0008-0000-0200-00001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307</xdr:row>
          <xdr:rowOff>0</xdr:rowOff>
        </xdr:from>
        <xdr:to>
          <xdr:col>5</xdr:col>
          <xdr:colOff>0</xdr:colOff>
          <xdr:row>308</xdr:row>
          <xdr:rowOff>47625</xdr:rowOff>
        </xdr:to>
        <xdr:sp macro="" textlink="">
          <xdr:nvSpPr>
            <xdr:cNvPr id="108819" name="Check Box 3347" hidden="1">
              <a:extLst>
                <a:ext uri="{63B3BB69-23CF-44E3-9099-C40C66FF867C}">
                  <a14:compatExt spid="_x0000_s108819"/>
                </a:ext>
                <a:ext uri="{FF2B5EF4-FFF2-40B4-BE49-F238E27FC236}">
                  <a16:creationId xmlns:a16="http://schemas.microsoft.com/office/drawing/2014/main" id="{00000000-0008-0000-0200-00001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308</xdr:row>
          <xdr:rowOff>0</xdr:rowOff>
        </xdr:from>
        <xdr:to>
          <xdr:col>5</xdr:col>
          <xdr:colOff>0</xdr:colOff>
          <xdr:row>309</xdr:row>
          <xdr:rowOff>47625</xdr:rowOff>
        </xdr:to>
        <xdr:sp macro="" textlink="">
          <xdr:nvSpPr>
            <xdr:cNvPr id="108820" name="Check Box 3348" hidden="1">
              <a:extLst>
                <a:ext uri="{63B3BB69-23CF-44E3-9099-C40C66FF867C}">
                  <a14:compatExt spid="_x0000_s108820"/>
                </a:ext>
                <a:ext uri="{FF2B5EF4-FFF2-40B4-BE49-F238E27FC236}">
                  <a16:creationId xmlns:a16="http://schemas.microsoft.com/office/drawing/2014/main" id="{00000000-0008-0000-0200-00001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309</xdr:row>
          <xdr:rowOff>0</xdr:rowOff>
        </xdr:from>
        <xdr:to>
          <xdr:col>5</xdr:col>
          <xdr:colOff>0</xdr:colOff>
          <xdr:row>310</xdr:row>
          <xdr:rowOff>47625</xdr:rowOff>
        </xdr:to>
        <xdr:sp macro="" textlink="">
          <xdr:nvSpPr>
            <xdr:cNvPr id="108821" name="Check Box 3349" hidden="1">
              <a:extLst>
                <a:ext uri="{63B3BB69-23CF-44E3-9099-C40C66FF867C}">
                  <a14:compatExt spid="_x0000_s108821"/>
                </a:ext>
                <a:ext uri="{FF2B5EF4-FFF2-40B4-BE49-F238E27FC236}">
                  <a16:creationId xmlns:a16="http://schemas.microsoft.com/office/drawing/2014/main" id="{00000000-0008-0000-0200-00001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310</xdr:row>
          <xdr:rowOff>0</xdr:rowOff>
        </xdr:from>
        <xdr:to>
          <xdr:col>5</xdr:col>
          <xdr:colOff>0</xdr:colOff>
          <xdr:row>311</xdr:row>
          <xdr:rowOff>47625</xdr:rowOff>
        </xdr:to>
        <xdr:sp macro="" textlink="">
          <xdr:nvSpPr>
            <xdr:cNvPr id="108822" name="Check Box 3350" hidden="1">
              <a:extLst>
                <a:ext uri="{63B3BB69-23CF-44E3-9099-C40C66FF867C}">
                  <a14:compatExt spid="_x0000_s108822"/>
                </a:ext>
                <a:ext uri="{FF2B5EF4-FFF2-40B4-BE49-F238E27FC236}">
                  <a16:creationId xmlns:a16="http://schemas.microsoft.com/office/drawing/2014/main" id="{00000000-0008-0000-0200-00001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311</xdr:row>
          <xdr:rowOff>0</xdr:rowOff>
        </xdr:from>
        <xdr:to>
          <xdr:col>5</xdr:col>
          <xdr:colOff>0</xdr:colOff>
          <xdr:row>312</xdr:row>
          <xdr:rowOff>47625</xdr:rowOff>
        </xdr:to>
        <xdr:sp macro="" textlink="">
          <xdr:nvSpPr>
            <xdr:cNvPr id="108823" name="Check Box 3351" hidden="1">
              <a:extLst>
                <a:ext uri="{63B3BB69-23CF-44E3-9099-C40C66FF867C}">
                  <a14:compatExt spid="_x0000_s108823"/>
                </a:ext>
                <a:ext uri="{FF2B5EF4-FFF2-40B4-BE49-F238E27FC236}">
                  <a16:creationId xmlns:a16="http://schemas.microsoft.com/office/drawing/2014/main" id="{00000000-0008-0000-0200-00001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312</xdr:row>
          <xdr:rowOff>0</xdr:rowOff>
        </xdr:from>
        <xdr:to>
          <xdr:col>5</xdr:col>
          <xdr:colOff>0</xdr:colOff>
          <xdr:row>313</xdr:row>
          <xdr:rowOff>47625</xdr:rowOff>
        </xdr:to>
        <xdr:sp macro="" textlink="">
          <xdr:nvSpPr>
            <xdr:cNvPr id="108824" name="Check Box 3352" hidden="1">
              <a:extLst>
                <a:ext uri="{63B3BB69-23CF-44E3-9099-C40C66FF867C}">
                  <a14:compatExt spid="_x0000_s108824"/>
                </a:ext>
                <a:ext uri="{FF2B5EF4-FFF2-40B4-BE49-F238E27FC236}">
                  <a16:creationId xmlns:a16="http://schemas.microsoft.com/office/drawing/2014/main" id="{00000000-0008-0000-0200-00001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313</xdr:row>
          <xdr:rowOff>0</xdr:rowOff>
        </xdr:from>
        <xdr:to>
          <xdr:col>5</xdr:col>
          <xdr:colOff>0</xdr:colOff>
          <xdr:row>314</xdr:row>
          <xdr:rowOff>47625</xdr:rowOff>
        </xdr:to>
        <xdr:sp macro="" textlink="">
          <xdr:nvSpPr>
            <xdr:cNvPr id="108825" name="Check Box 3353" hidden="1">
              <a:extLst>
                <a:ext uri="{63B3BB69-23CF-44E3-9099-C40C66FF867C}">
                  <a14:compatExt spid="_x0000_s108825"/>
                </a:ext>
                <a:ext uri="{FF2B5EF4-FFF2-40B4-BE49-F238E27FC236}">
                  <a16:creationId xmlns:a16="http://schemas.microsoft.com/office/drawing/2014/main" id="{00000000-0008-0000-0200-00001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314</xdr:row>
          <xdr:rowOff>0</xdr:rowOff>
        </xdr:from>
        <xdr:to>
          <xdr:col>5</xdr:col>
          <xdr:colOff>0</xdr:colOff>
          <xdr:row>315</xdr:row>
          <xdr:rowOff>47625</xdr:rowOff>
        </xdr:to>
        <xdr:sp macro="" textlink="">
          <xdr:nvSpPr>
            <xdr:cNvPr id="108826" name="Check Box 3354" hidden="1">
              <a:extLst>
                <a:ext uri="{63B3BB69-23CF-44E3-9099-C40C66FF867C}">
                  <a14:compatExt spid="_x0000_s108826"/>
                </a:ext>
                <a:ext uri="{FF2B5EF4-FFF2-40B4-BE49-F238E27FC236}">
                  <a16:creationId xmlns:a16="http://schemas.microsoft.com/office/drawing/2014/main" id="{00000000-0008-0000-0200-00001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315</xdr:row>
          <xdr:rowOff>0</xdr:rowOff>
        </xdr:from>
        <xdr:to>
          <xdr:col>5</xdr:col>
          <xdr:colOff>0</xdr:colOff>
          <xdr:row>316</xdr:row>
          <xdr:rowOff>47625</xdr:rowOff>
        </xdr:to>
        <xdr:sp macro="" textlink="">
          <xdr:nvSpPr>
            <xdr:cNvPr id="108827" name="Check Box 3355" hidden="1">
              <a:extLst>
                <a:ext uri="{63B3BB69-23CF-44E3-9099-C40C66FF867C}">
                  <a14:compatExt spid="_x0000_s108827"/>
                </a:ext>
                <a:ext uri="{FF2B5EF4-FFF2-40B4-BE49-F238E27FC236}">
                  <a16:creationId xmlns:a16="http://schemas.microsoft.com/office/drawing/2014/main" id="{00000000-0008-0000-0200-00001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316</xdr:row>
          <xdr:rowOff>0</xdr:rowOff>
        </xdr:from>
        <xdr:to>
          <xdr:col>5</xdr:col>
          <xdr:colOff>0</xdr:colOff>
          <xdr:row>317</xdr:row>
          <xdr:rowOff>47625</xdr:rowOff>
        </xdr:to>
        <xdr:sp macro="" textlink="">
          <xdr:nvSpPr>
            <xdr:cNvPr id="108828" name="Check Box 3356" hidden="1">
              <a:extLst>
                <a:ext uri="{63B3BB69-23CF-44E3-9099-C40C66FF867C}">
                  <a14:compatExt spid="_x0000_s108828"/>
                </a:ext>
                <a:ext uri="{FF2B5EF4-FFF2-40B4-BE49-F238E27FC236}">
                  <a16:creationId xmlns:a16="http://schemas.microsoft.com/office/drawing/2014/main" id="{00000000-0008-0000-0200-00001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317</xdr:row>
          <xdr:rowOff>0</xdr:rowOff>
        </xdr:from>
        <xdr:to>
          <xdr:col>5</xdr:col>
          <xdr:colOff>0</xdr:colOff>
          <xdr:row>318</xdr:row>
          <xdr:rowOff>47625</xdr:rowOff>
        </xdr:to>
        <xdr:sp macro="" textlink="">
          <xdr:nvSpPr>
            <xdr:cNvPr id="108829" name="Check Box 3357" hidden="1">
              <a:extLst>
                <a:ext uri="{63B3BB69-23CF-44E3-9099-C40C66FF867C}">
                  <a14:compatExt spid="_x0000_s108829"/>
                </a:ext>
                <a:ext uri="{FF2B5EF4-FFF2-40B4-BE49-F238E27FC236}">
                  <a16:creationId xmlns:a16="http://schemas.microsoft.com/office/drawing/2014/main" id="{00000000-0008-0000-0200-00001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318</xdr:row>
          <xdr:rowOff>0</xdr:rowOff>
        </xdr:from>
        <xdr:to>
          <xdr:col>5</xdr:col>
          <xdr:colOff>0</xdr:colOff>
          <xdr:row>319</xdr:row>
          <xdr:rowOff>47625</xdr:rowOff>
        </xdr:to>
        <xdr:sp macro="" textlink="">
          <xdr:nvSpPr>
            <xdr:cNvPr id="108830" name="Check Box 3358" hidden="1">
              <a:extLst>
                <a:ext uri="{63B3BB69-23CF-44E3-9099-C40C66FF867C}">
                  <a14:compatExt spid="_x0000_s108830"/>
                </a:ext>
                <a:ext uri="{FF2B5EF4-FFF2-40B4-BE49-F238E27FC236}">
                  <a16:creationId xmlns:a16="http://schemas.microsoft.com/office/drawing/2014/main" id="{00000000-0008-0000-0200-00001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319</xdr:row>
          <xdr:rowOff>0</xdr:rowOff>
        </xdr:from>
        <xdr:to>
          <xdr:col>5</xdr:col>
          <xdr:colOff>0</xdr:colOff>
          <xdr:row>320</xdr:row>
          <xdr:rowOff>47625</xdr:rowOff>
        </xdr:to>
        <xdr:sp macro="" textlink="">
          <xdr:nvSpPr>
            <xdr:cNvPr id="108831" name="Check Box 3359" hidden="1">
              <a:extLst>
                <a:ext uri="{63B3BB69-23CF-44E3-9099-C40C66FF867C}">
                  <a14:compatExt spid="_x0000_s108831"/>
                </a:ext>
                <a:ext uri="{FF2B5EF4-FFF2-40B4-BE49-F238E27FC236}">
                  <a16:creationId xmlns:a16="http://schemas.microsoft.com/office/drawing/2014/main" id="{00000000-0008-0000-0200-00001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320</xdr:row>
          <xdr:rowOff>0</xdr:rowOff>
        </xdr:from>
        <xdr:to>
          <xdr:col>5</xdr:col>
          <xdr:colOff>0</xdr:colOff>
          <xdr:row>321</xdr:row>
          <xdr:rowOff>47625</xdr:rowOff>
        </xdr:to>
        <xdr:sp macro="" textlink="">
          <xdr:nvSpPr>
            <xdr:cNvPr id="108832" name="Check Box 3360" hidden="1">
              <a:extLst>
                <a:ext uri="{63B3BB69-23CF-44E3-9099-C40C66FF867C}">
                  <a14:compatExt spid="_x0000_s108832"/>
                </a:ext>
                <a:ext uri="{FF2B5EF4-FFF2-40B4-BE49-F238E27FC236}">
                  <a16:creationId xmlns:a16="http://schemas.microsoft.com/office/drawing/2014/main" id="{00000000-0008-0000-0200-00002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321</xdr:row>
          <xdr:rowOff>0</xdr:rowOff>
        </xdr:from>
        <xdr:to>
          <xdr:col>5</xdr:col>
          <xdr:colOff>0</xdr:colOff>
          <xdr:row>322</xdr:row>
          <xdr:rowOff>47625</xdr:rowOff>
        </xdr:to>
        <xdr:sp macro="" textlink="">
          <xdr:nvSpPr>
            <xdr:cNvPr id="108833" name="Check Box 3361" hidden="1">
              <a:extLst>
                <a:ext uri="{63B3BB69-23CF-44E3-9099-C40C66FF867C}">
                  <a14:compatExt spid="_x0000_s108833"/>
                </a:ext>
                <a:ext uri="{FF2B5EF4-FFF2-40B4-BE49-F238E27FC236}">
                  <a16:creationId xmlns:a16="http://schemas.microsoft.com/office/drawing/2014/main" id="{00000000-0008-0000-0200-00002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322</xdr:row>
          <xdr:rowOff>0</xdr:rowOff>
        </xdr:from>
        <xdr:to>
          <xdr:col>5</xdr:col>
          <xdr:colOff>0</xdr:colOff>
          <xdr:row>323</xdr:row>
          <xdr:rowOff>47625</xdr:rowOff>
        </xdr:to>
        <xdr:sp macro="" textlink="">
          <xdr:nvSpPr>
            <xdr:cNvPr id="108834" name="Check Box 3362" hidden="1">
              <a:extLst>
                <a:ext uri="{63B3BB69-23CF-44E3-9099-C40C66FF867C}">
                  <a14:compatExt spid="_x0000_s108834"/>
                </a:ext>
                <a:ext uri="{FF2B5EF4-FFF2-40B4-BE49-F238E27FC236}">
                  <a16:creationId xmlns:a16="http://schemas.microsoft.com/office/drawing/2014/main" id="{00000000-0008-0000-0200-00002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323</xdr:row>
          <xdr:rowOff>0</xdr:rowOff>
        </xdr:from>
        <xdr:to>
          <xdr:col>5</xdr:col>
          <xdr:colOff>0</xdr:colOff>
          <xdr:row>324</xdr:row>
          <xdr:rowOff>47625</xdr:rowOff>
        </xdr:to>
        <xdr:sp macro="" textlink="">
          <xdr:nvSpPr>
            <xdr:cNvPr id="108835" name="Check Box 3363" hidden="1">
              <a:extLst>
                <a:ext uri="{63B3BB69-23CF-44E3-9099-C40C66FF867C}">
                  <a14:compatExt spid="_x0000_s108835"/>
                </a:ext>
                <a:ext uri="{FF2B5EF4-FFF2-40B4-BE49-F238E27FC236}">
                  <a16:creationId xmlns:a16="http://schemas.microsoft.com/office/drawing/2014/main" id="{00000000-0008-0000-0200-00002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324</xdr:row>
          <xdr:rowOff>0</xdr:rowOff>
        </xdr:from>
        <xdr:to>
          <xdr:col>5</xdr:col>
          <xdr:colOff>0</xdr:colOff>
          <xdr:row>325</xdr:row>
          <xdr:rowOff>47625</xdr:rowOff>
        </xdr:to>
        <xdr:sp macro="" textlink="">
          <xdr:nvSpPr>
            <xdr:cNvPr id="108836" name="Check Box 3364" hidden="1">
              <a:extLst>
                <a:ext uri="{63B3BB69-23CF-44E3-9099-C40C66FF867C}">
                  <a14:compatExt spid="_x0000_s108836"/>
                </a:ext>
                <a:ext uri="{FF2B5EF4-FFF2-40B4-BE49-F238E27FC236}">
                  <a16:creationId xmlns:a16="http://schemas.microsoft.com/office/drawing/2014/main" id="{00000000-0008-0000-0200-00002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325</xdr:row>
          <xdr:rowOff>0</xdr:rowOff>
        </xdr:from>
        <xdr:to>
          <xdr:col>5</xdr:col>
          <xdr:colOff>0</xdr:colOff>
          <xdr:row>326</xdr:row>
          <xdr:rowOff>47625</xdr:rowOff>
        </xdr:to>
        <xdr:sp macro="" textlink="">
          <xdr:nvSpPr>
            <xdr:cNvPr id="108837" name="Check Box 3365" hidden="1">
              <a:extLst>
                <a:ext uri="{63B3BB69-23CF-44E3-9099-C40C66FF867C}">
                  <a14:compatExt spid="_x0000_s108837"/>
                </a:ext>
                <a:ext uri="{FF2B5EF4-FFF2-40B4-BE49-F238E27FC236}">
                  <a16:creationId xmlns:a16="http://schemas.microsoft.com/office/drawing/2014/main" id="{00000000-0008-0000-0200-00002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326</xdr:row>
          <xdr:rowOff>0</xdr:rowOff>
        </xdr:from>
        <xdr:to>
          <xdr:col>5</xdr:col>
          <xdr:colOff>0</xdr:colOff>
          <xdr:row>327</xdr:row>
          <xdr:rowOff>47625</xdr:rowOff>
        </xdr:to>
        <xdr:sp macro="" textlink="">
          <xdr:nvSpPr>
            <xdr:cNvPr id="108838" name="Check Box 3366" hidden="1">
              <a:extLst>
                <a:ext uri="{63B3BB69-23CF-44E3-9099-C40C66FF867C}">
                  <a14:compatExt spid="_x0000_s108838"/>
                </a:ext>
                <a:ext uri="{FF2B5EF4-FFF2-40B4-BE49-F238E27FC236}">
                  <a16:creationId xmlns:a16="http://schemas.microsoft.com/office/drawing/2014/main" id="{00000000-0008-0000-0200-00002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327</xdr:row>
          <xdr:rowOff>0</xdr:rowOff>
        </xdr:from>
        <xdr:to>
          <xdr:col>5</xdr:col>
          <xdr:colOff>0</xdr:colOff>
          <xdr:row>328</xdr:row>
          <xdr:rowOff>47625</xdr:rowOff>
        </xdr:to>
        <xdr:sp macro="" textlink="">
          <xdr:nvSpPr>
            <xdr:cNvPr id="108839" name="Check Box 3367" hidden="1">
              <a:extLst>
                <a:ext uri="{63B3BB69-23CF-44E3-9099-C40C66FF867C}">
                  <a14:compatExt spid="_x0000_s108839"/>
                </a:ext>
                <a:ext uri="{FF2B5EF4-FFF2-40B4-BE49-F238E27FC236}">
                  <a16:creationId xmlns:a16="http://schemas.microsoft.com/office/drawing/2014/main" id="{00000000-0008-0000-0200-00002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328</xdr:row>
          <xdr:rowOff>0</xdr:rowOff>
        </xdr:from>
        <xdr:to>
          <xdr:col>5</xdr:col>
          <xdr:colOff>0</xdr:colOff>
          <xdr:row>329</xdr:row>
          <xdr:rowOff>47625</xdr:rowOff>
        </xdr:to>
        <xdr:sp macro="" textlink="">
          <xdr:nvSpPr>
            <xdr:cNvPr id="108840" name="Check Box 3368" hidden="1">
              <a:extLst>
                <a:ext uri="{63B3BB69-23CF-44E3-9099-C40C66FF867C}">
                  <a14:compatExt spid="_x0000_s108840"/>
                </a:ext>
                <a:ext uri="{FF2B5EF4-FFF2-40B4-BE49-F238E27FC236}">
                  <a16:creationId xmlns:a16="http://schemas.microsoft.com/office/drawing/2014/main" id="{00000000-0008-0000-0200-00002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329</xdr:row>
          <xdr:rowOff>0</xdr:rowOff>
        </xdr:from>
        <xdr:to>
          <xdr:col>5</xdr:col>
          <xdr:colOff>0</xdr:colOff>
          <xdr:row>330</xdr:row>
          <xdr:rowOff>47625</xdr:rowOff>
        </xdr:to>
        <xdr:sp macro="" textlink="">
          <xdr:nvSpPr>
            <xdr:cNvPr id="108841" name="Check Box 3369" hidden="1">
              <a:extLst>
                <a:ext uri="{63B3BB69-23CF-44E3-9099-C40C66FF867C}">
                  <a14:compatExt spid="_x0000_s108841"/>
                </a:ext>
                <a:ext uri="{FF2B5EF4-FFF2-40B4-BE49-F238E27FC236}">
                  <a16:creationId xmlns:a16="http://schemas.microsoft.com/office/drawing/2014/main" id="{00000000-0008-0000-0200-00002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330</xdr:row>
          <xdr:rowOff>0</xdr:rowOff>
        </xdr:from>
        <xdr:to>
          <xdr:col>5</xdr:col>
          <xdr:colOff>0</xdr:colOff>
          <xdr:row>331</xdr:row>
          <xdr:rowOff>47625</xdr:rowOff>
        </xdr:to>
        <xdr:sp macro="" textlink="">
          <xdr:nvSpPr>
            <xdr:cNvPr id="108842" name="Check Box 3370" hidden="1">
              <a:extLst>
                <a:ext uri="{63B3BB69-23CF-44E3-9099-C40C66FF867C}">
                  <a14:compatExt spid="_x0000_s108842"/>
                </a:ext>
                <a:ext uri="{FF2B5EF4-FFF2-40B4-BE49-F238E27FC236}">
                  <a16:creationId xmlns:a16="http://schemas.microsoft.com/office/drawing/2014/main" id="{00000000-0008-0000-0200-00002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331</xdr:row>
          <xdr:rowOff>0</xdr:rowOff>
        </xdr:from>
        <xdr:to>
          <xdr:col>5</xdr:col>
          <xdr:colOff>0</xdr:colOff>
          <xdr:row>332</xdr:row>
          <xdr:rowOff>47625</xdr:rowOff>
        </xdr:to>
        <xdr:sp macro="" textlink="">
          <xdr:nvSpPr>
            <xdr:cNvPr id="108843" name="Check Box 3371" hidden="1">
              <a:extLst>
                <a:ext uri="{63B3BB69-23CF-44E3-9099-C40C66FF867C}">
                  <a14:compatExt spid="_x0000_s108843"/>
                </a:ext>
                <a:ext uri="{FF2B5EF4-FFF2-40B4-BE49-F238E27FC236}">
                  <a16:creationId xmlns:a16="http://schemas.microsoft.com/office/drawing/2014/main" id="{00000000-0008-0000-0200-00002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332</xdr:row>
          <xdr:rowOff>0</xdr:rowOff>
        </xdr:from>
        <xdr:to>
          <xdr:col>5</xdr:col>
          <xdr:colOff>0</xdr:colOff>
          <xdr:row>333</xdr:row>
          <xdr:rowOff>47625</xdr:rowOff>
        </xdr:to>
        <xdr:sp macro="" textlink="">
          <xdr:nvSpPr>
            <xdr:cNvPr id="108844" name="Check Box 3372" hidden="1">
              <a:extLst>
                <a:ext uri="{63B3BB69-23CF-44E3-9099-C40C66FF867C}">
                  <a14:compatExt spid="_x0000_s108844"/>
                </a:ext>
                <a:ext uri="{FF2B5EF4-FFF2-40B4-BE49-F238E27FC236}">
                  <a16:creationId xmlns:a16="http://schemas.microsoft.com/office/drawing/2014/main" id="{00000000-0008-0000-0200-00002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333</xdr:row>
          <xdr:rowOff>0</xdr:rowOff>
        </xdr:from>
        <xdr:to>
          <xdr:col>5</xdr:col>
          <xdr:colOff>0</xdr:colOff>
          <xdr:row>334</xdr:row>
          <xdr:rowOff>47625</xdr:rowOff>
        </xdr:to>
        <xdr:sp macro="" textlink="">
          <xdr:nvSpPr>
            <xdr:cNvPr id="108845" name="Check Box 3373" hidden="1">
              <a:extLst>
                <a:ext uri="{63B3BB69-23CF-44E3-9099-C40C66FF867C}">
                  <a14:compatExt spid="_x0000_s108845"/>
                </a:ext>
                <a:ext uri="{FF2B5EF4-FFF2-40B4-BE49-F238E27FC236}">
                  <a16:creationId xmlns:a16="http://schemas.microsoft.com/office/drawing/2014/main" id="{00000000-0008-0000-0200-00002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334</xdr:row>
          <xdr:rowOff>0</xdr:rowOff>
        </xdr:from>
        <xdr:to>
          <xdr:col>5</xdr:col>
          <xdr:colOff>0</xdr:colOff>
          <xdr:row>335</xdr:row>
          <xdr:rowOff>47625</xdr:rowOff>
        </xdr:to>
        <xdr:sp macro="" textlink="">
          <xdr:nvSpPr>
            <xdr:cNvPr id="108846" name="Check Box 3374" hidden="1">
              <a:extLst>
                <a:ext uri="{63B3BB69-23CF-44E3-9099-C40C66FF867C}">
                  <a14:compatExt spid="_x0000_s108846"/>
                </a:ext>
                <a:ext uri="{FF2B5EF4-FFF2-40B4-BE49-F238E27FC236}">
                  <a16:creationId xmlns:a16="http://schemas.microsoft.com/office/drawing/2014/main" id="{00000000-0008-0000-0200-00002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335</xdr:row>
          <xdr:rowOff>0</xdr:rowOff>
        </xdr:from>
        <xdr:to>
          <xdr:col>5</xdr:col>
          <xdr:colOff>0</xdr:colOff>
          <xdr:row>336</xdr:row>
          <xdr:rowOff>47625</xdr:rowOff>
        </xdr:to>
        <xdr:sp macro="" textlink="">
          <xdr:nvSpPr>
            <xdr:cNvPr id="108847" name="Check Box 3375" hidden="1">
              <a:extLst>
                <a:ext uri="{63B3BB69-23CF-44E3-9099-C40C66FF867C}">
                  <a14:compatExt spid="_x0000_s108847"/>
                </a:ext>
                <a:ext uri="{FF2B5EF4-FFF2-40B4-BE49-F238E27FC236}">
                  <a16:creationId xmlns:a16="http://schemas.microsoft.com/office/drawing/2014/main" id="{00000000-0008-0000-0200-00002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336</xdr:row>
          <xdr:rowOff>0</xdr:rowOff>
        </xdr:from>
        <xdr:to>
          <xdr:col>5</xdr:col>
          <xdr:colOff>0</xdr:colOff>
          <xdr:row>337</xdr:row>
          <xdr:rowOff>47625</xdr:rowOff>
        </xdr:to>
        <xdr:sp macro="" textlink="">
          <xdr:nvSpPr>
            <xdr:cNvPr id="108848" name="Check Box 3376" hidden="1">
              <a:extLst>
                <a:ext uri="{63B3BB69-23CF-44E3-9099-C40C66FF867C}">
                  <a14:compatExt spid="_x0000_s108848"/>
                </a:ext>
                <a:ext uri="{FF2B5EF4-FFF2-40B4-BE49-F238E27FC236}">
                  <a16:creationId xmlns:a16="http://schemas.microsoft.com/office/drawing/2014/main" id="{00000000-0008-0000-0200-00003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337</xdr:row>
          <xdr:rowOff>0</xdr:rowOff>
        </xdr:from>
        <xdr:to>
          <xdr:col>5</xdr:col>
          <xdr:colOff>0</xdr:colOff>
          <xdr:row>338</xdr:row>
          <xdr:rowOff>47625</xdr:rowOff>
        </xdr:to>
        <xdr:sp macro="" textlink="">
          <xdr:nvSpPr>
            <xdr:cNvPr id="108849" name="Check Box 3377" hidden="1">
              <a:extLst>
                <a:ext uri="{63B3BB69-23CF-44E3-9099-C40C66FF867C}">
                  <a14:compatExt spid="_x0000_s108849"/>
                </a:ext>
                <a:ext uri="{FF2B5EF4-FFF2-40B4-BE49-F238E27FC236}">
                  <a16:creationId xmlns:a16="http://schemas.microsoft.com/office/drawing/2014/main" id="{00000000-0008-0000-0200-00003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338</xdr:row>
          <xdr:rowOff>0</xdr:rowOff>
        </xdr:from>
        <xdr:to>
          <xdr:col>5</xdr:col>
          <xdr:colOff>0</xdr:colOff>
          <xdr:row>339</xdr:row>
          <xdr:rowOff>47625</xdr:rowOff>
        </xdr:to>
        <xdr:sp macro="" textlink="">
          <xdr:nvSpPr>
            <xdr:cNvPr id="108850" name="Check Box 3378" hidden="1">
              <a:extLst>
                <a:ext uri="{63B3BB69-23CF-44E3-9099-C40C66FF867C}">
                  <a14:compatExt spid="_x0000_s108850"/>
                </a:ext>
                <a:ext uri="{FF2B5EF4-FFF2-40B4-BE49-F238E27FC236}">
                  <a16:creationId xmlns:a16="http://schemas.microsoft.com/office/drawing/2014/main" id="{00000000-0008-0000-0200-00003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339</xdr:row>
          <xdr:rowOff>0</xdr:rowOff>
        </xdr:from>
        <xdr:to>
          <xdr:col>5</xdr:col>
          <xdr:colOff>0</xdr:colOff>
          <xdr:row>340</xdr:row>
          <xdr:rowOff>47625</xdr:rowOff>
        </xdr:to>
        <xdr:sp macro="" textlink="">
          <xdr:nvSpPr>
            <xdr:cNvPr id="108851" name="Check Box 3379" hidden="1">
              <a:extLst>
                <a:ext uri="{63B3BB69-23CF-44E3-9099-C40C66FF867C}">
                  <a14:compatExt spid="_x0000_s108851"/>
                </a:ext>
                <a:ext uri="{FF2B5EF4-FFF2-40B4-BE49-F238E27FC236}">
                  <a16:creationId xmlns:a16="http://schemas.microsoft.com/office/drawing/2014/main" id="{00000000-0008-0000-0200-00003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340</xdr:row>
          <xdr:rowOff>0</xdr:rowOff>
        </xdr:from>
        <xdr:to>
          <xdr:col>5</xdr:col>
          <xdr:colOff>0</xdr:colOff>
          <xdr:row>341</xdr:row>
          <xdr:rowOff>47625</xdr:rowOff>
        </xdr:to>
        <xdr:sp macro="" textlink="">
          <xdr:nvSpPr>
            <xdr:cNvPr id="108852" name="Check Box 3380" hidden="1">
              <a:extLst>
                <a:ext uri="{63B3BB69-23CF-44E3-9099-C40C66FF867C}">
                  <a14:compatExt spid="_x0000_s108852"/>
                </a:ext>
                <a:ext uri="{FF2B5EF4-FFF2-40B4-BE49-F238E27FC236}">
                  <a16:creationId xmlns:a16="http://schemas.microsoft.com/office/drawing/2014/main" id="{00000000-0008-0000-0200-00003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341</xdr:row>
          <xdr:rowOff>0</xdr:rowOff>
        </xdr:from>
        <xdr:to>
          <xdr:col>5</xdr:col>
          <xdr:colOff>0</xdr:colOff>
          <xdr:row>342</xdr:row>
          <xdr:rowOff>47625</xdr:rowOff>
        </xdr:to>
        <xdr:sp macro="" textlink="">
          <xdr:nvSpPr>
            <xdr:cNvPr id="108853" name="Check Box 3381" hidden="1">
              <a:extLst>
                <a:ext uri="{63B3BB69-23CF-44E3-9099-C40C66FF867C}">
                  <a14:compatExt spid="_x0000_s108853"/>
                </a:ext>
                <a:ext uri="{FF2B5EF4-FFF2-40B4-BE49-F238E27FC236}">
                  <a16:creationId xmlns:a16="http://schemas.microsoft.com/office/drawing/2014/main" id="{00000000-0008-0000-0200-00003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342</xdr:row>
          <xdr:rowOff>0</xdr:rowOff>
        </xdr:from>
        <xdr:to>
          <xdr:col>5</xdr:col>
          <xdr:colOff>0</xdr:colOff>
          <xdr:row>343</xdr:row>
          <xdr:rowOff>47625</xdr:rowOff>
        </xdr:to>
        <xdr:sp macro="" textlink="">
          <xdr:nvSpPr>
            <xdr:cNvPr id="108854" name="Check Box 3382" hidden="1">
              <a:extLst>
                <a:ext uri="{63B3BB69-23CF-44E3-9099-C40C66FF867C}">
                  <a14:compatExt spid="_x0000_s108854"/>
                </a:ext>
                <a:ext uri="{FF2B5EF4-FFF2-40B4-BE49-F238E27FC236}">
                  <a16:creationId xmlns:a16="http://schemas.microsoft.com/office/drawing/2014/main" id="{00000000-0008-0000-0200-00003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343</xdr:row>
          <xdr:rowOff>0</xdr:rowOff>
        </xdr:from>
        <xdr:to>
          <xdr:col>5</xdr:col>
          <xdr:colOff>0</xdr:colOff>
          <xdr:row>344</xdr:row>
          <xdr:rowOff>47625</xdr:rowOff>
        </xdr:to>
        <xdr:sp macro="" textlink="">
          <xdr:nvSpPr>
            <xdr:cNvPr id="108855" name="Check Box 3383" hidden="1">
              <a:extLst>
                <a:ext uri="{63B3BB69-23CF-44E3-9099-C40C66FF867C}">
                  <a14:compatExt spid="_x0000_s108855"/>
                </a:ext>
                <a:ext uri="{FF2B5EF4-FFF2-40B4-BE49-F238E27FC236}">
                  <a16:creationId xmlns:a16="http://schemas.microsoft.com/office/drawing/2014/main" id="{00000000-0008-0000-0200-00003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344</xdr:row>
          <xdr:rowOff>0</xdr:rowOff>
        </xdr:from>
        <xdr:to>
          <xdr:col>5</xdr:col>
          <xdr:colOff>0</xdr:colOff>
          <xdr:row>345</xdr:row>
          <xdr:rowOff>47625</xdr:rowOff>
        </xdr:to>
        <xdr:sp macro="" textlink="">
          <xdr:nvSpPr>
            <xdr:cNvPr id="108856" name="Check Box 3384" hidden="1">
              <a:extLst>
                <a:ext uri="{63B3BB69-23CF-44E3-9099-C40C66FF867C}">
                  <a14:compatExt spid="_x0000_s108856"/>
                </a:ext>
                <a:ext uri="{FF2B5EF4-FFF2-40B4-BE49-F238E27FC236}">
                  <a16:creationId xmlns:a16="http://schemas.microsoft.com/office/drawing/2014/main" id="{00000000-0008-0000-0200-00003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345</xdr:row>
          <xdr:rowOff>0</xdr:rowOff>
        </xdr:from>
        <xdr:to>
          <xdr:col>5</xdr:col>
          <xdr:colOff>0</xdr:colOff>
          <xdr:row>346</xdr:row>
          <xdr:rowOff>47625</xdr:rowOff>
        </xdr:to>
        <xdr:sp macro="" textlink="">
          <xdr:nvSpPr>
            <xdr:cNvPr id="108857" name="Check Box 3385" hidden="1">
              <a:extLst>
                <a:ext uri="{63B3BB69-23CF-44E3-9099-C40C66FF867C}">
                  <a14:compatExt spid="_x0000_s108857"/>
                </a:ext>
                <a:ext uri="{FF2B5EF4-FFF2-40B4-BE49-F238E27FC236}">
                  <a16:creationId xmlns:a16="http://schemas.microsoft.com/office/drawing/2014/main" id="{00000000-0008-0000-0200-00003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346</xdr:row>
          <xdr:rowOff>0</xdr:rowOff>
        </xdr:from>
        <xdr:to>
          <xdr:col>5</xdr:col>
          <xdr:colOff>0</xdr:colOff>
          <xdr:row>347</xdr:row>
          <xdr:rowOff>47625</xdr:rowOff>
        </xdr:to>
        <xdr:sp macro="" textlink="">
          <xdr:nvSpPr>
            <xdr:cNvPr id="108858" name="Check Box 3386" hidden="1">
              <a:extLst>
                <a:ext uri="{63B3BB69-23CF-44E3-9099-C40C66FF867C}">
                  <a14:compatExt spid="_x0000_s108858"/>
                </a:ext>
                <a:ext uri="{FF2B5EF4-FFF2-40B4-BE49-F238E27FC236}">
                  <a16:creationId xmlns:a16="http://schemas.microsoft.com/office/drawing/2014/main" id="{00000000-0008-0000-0200-00003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347</xdr:row>
          <xdr:rowOff>0</xdr:rowOff>
        </xdr:from>
        <xdr:to>
          <xdr:col>5</xdr:col>
          <xdr:colOff>0</xdr:colOff>
          <xdr:row>348</xdr:row>
          <xdr:rowOff>47625</xdr:rowOff>
        </xdr:to>
        <xdr:sp macro="" textlink="">
          <xdr:nvSpPr>
            <xdr:cNvPr id="108859" name="Check Box 3387" hidden="1">
              <a:extLst>
                <a:ext uri="{63B3BB69-23CF-44E3-9099-C40C66FF867C}">
                  <a14:compatExt spid="_x0000_s108859"/>
                </a:ext>
                <a:ext uri="{FF2B5EF4-FFF2-40B4-BE49-F238E27FC236}">
                  <a16:creationId xmlns:a16="http://schemas.microsoft.com/office/drawing/2014/main" id="{00000000-0008-0000-0200-00003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348</xdr:row>
          <xdr:rowOff>0</xdr:rowOff>
        </xdr:from>
        <xdr:to>
          <xdr:col>5</xdr:col>
          <xdr:colOff>0</xdr:colOff>
          <xdr:row>349</xdr:row>
          <xdr:rowOff>47625</xdr:rowOff>
        </xdr:to>
        <xdr:sp macro="" textlink="">
          <xdr:nvSpPr>
            <xdr:cNvPr id="108860" name="Check Box 3388" hidden="1">
              <a:extLst>
                <a:ext uri="{63B3BB69-23CF-44E3-9099-C40C66FF867C}">
                  <a14:compatExt spid="_x0000_s108860"/>
                </a:ext>
                <a:ext uri="{FF2B5EF4-FFF2-40B4-BE49-F238E27FC236}">
                  <a16:creationId xmlns:a16="http://schemas.microsoft.com/office/drawing/2014/main" id="{00000000-0008-0000-0200-00003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349</xdr:row>
          <xdr:rowOff>0</xdr:rowOff>
        </xdr:from>
        <xdr:to>
          <xdr:col>5</xdr:col>
          <xdr:colOff>0</xdr:colOff>
          <xdr:row>350</xdr:row>
          <xdr:rowOff>47625</xdr:rowOff>
        </xdr:to>
        <xdr:sp macro="" textlink="">
          <xdr:nvSpPr>
            <xdr:cNvPr id="108861" name="Check Box 3389" hidden="1">
              <a:extLst>
                <a:ext uri="{63B3BB69-23CF-44E3-9099-C40C66FF867C}">
                  <a14:compatExt spid="_x0000_s108861"/>
                </a:ext>
                <a:ext uri="{FF2B5EF4-FFF2-40B4-BE49-F238E27FC236}">
                  <a16:creationId xmlns:a16="http://schemas.microsoft.com/office/drawing/2014/main" id="{00000000-0008-0000-0200-00003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350</xdr:row>
          <xdr:rowOff>0</xdr:rowOff>
        </xdr:from>
        <xdr:to>
          <xdr:col>5</xdr:col>
          <xdr:colOff>0</xdr:colOff>
          <xdr:row>351</xdr:row>
          <xdr:rowOff>47625</xdr:rowOff>
        </xdr:to>
        <xdr:sp macro="" textlink="">
          <xdr:nvSpPr>
            <xdr:cNvPr id="108862" name="Check Box 3390" hidden="1">
              <a:extLst>
                <a:ext uri="{63B3BB69-23CF-44E3-9099-C40C66FF867C}">
                  <a14:compatExt spid="_x0000_s108862"/>
                </a:ext>
                <a:ext uri="{FF2B5EF4-FFF2-40B4-BE49-F238E27FC236}">
                  <a16:creationId xmlns:a16="http://schemas.microsoft.com/office/drawing/2014/main" id="{00000000-0008-0000-0200-00003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351</xdr:row>
          <xdr:rowOff>0</xdr:rowOff>
        </xdr:from>
        <xdr:to>
          <xdr:col>5</xdr:col>
          <xdr:colOff>0</xdr:colOff>
          <xdr:row>352</xdr:row>
          <xdr:rowOff>47625</xdr:rowOff>
        </xdr:to>
        <xdr:sp macro="" textlink="">
          <xdr:nvSpPr>
            <xdr:cNvPr id="108863" name="Check Box 3391" hidden="1">
              <a:extLst>
                <a:ext uri="{63B3BB69-23CF-44E3-9099-C40C66FF867C}">
                  <a14:compatExt spid="_x0000_s108863"/>
                </a:ext>
                <a:ext uri="{FF2B5EF4-FFF2-40B4-BE49-F238E27FC236}">
                  <a16:creationId xmlns:a16="http://schemas.microsoft.com/office/drawing/2014/main" id="{00000000-0008-0000-0200-00003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352</xdr:row>
          <xdr:rowOff>0</xdr:rowOff>
        </xdr:from>
        <xdr:to>
          <xdr:col>5</xdr:col>
          <xdr:colOff>0</xdr:colOff>
          <xdr:row>353</xdr:row>
          <xdr:rowOff>47625</xdr:rowOff>
        </xdr:to>
        <xdr:sp macro="" textlink="">
          <xdr:nvSpPr>
            <xdr:cNvPr id="108864" name="Check Box 3392" hidden="1">
              <a:extLst>
                <a:ext uri="{63B3BB69-23CF-44E3-9099-C40C66FF867C}">
                  <a14:compatExt spid="_x0000_s108864"/>
                </a:ext>
                <a:ext uri="{FF2B5EF4-FFF2-40B4-BE49-F238E27FC236}">
                  <a16:creationId xmlns:a16="http://schemas.microsoft.com/office/drawing/2014/main" id="{00000000-0008-0000-0200-00004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353</xdr:row>
          <xdr:rowOff>0</xdr:rowOff>
        </xdr:from>
        <xdr:to>
          <xdr:col>5</xdr:col>
          <xdr:colOff>0</xdr:colOff>
          <xdr:row>354</xdr:row>
          <xdr:rowOff>47625</xdr:rowOff>
        </xdr:to>
        <xdr:sp macro="" textlink="">
          <xdr:nvSpPr>
            <xdr:cNvPr id="108865" name="Check Box 3393" hidden="1">
              <a:extLst>
                <a:ext uri="{63B3BB69-23CF-44E3-9099-C40C66FF867C}">
                  <a14:compatExt spid="_x0000_s108865"/>
                </a:ext>
                <a:ext uri="{FF2B5EF4-FFF2-40B4-BE49-F238E27FC236}">
                  <a16:creationId xmlns:a16="http://schemas.microsoft.com/office/drawing/2014/main" id="{00000000-0008-0000-0200-00004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354</xdr:row>
          <xdr:rowOff>0</xdr:rowOff>
        </xdr:from>
        <xdr:to>
          <xdr:col>5</xdr:col>
          <xdr:colOff>0</xdr:colOff>
          <xdr:row>355</xdr:row>
          <xdr:rowOff>47625</xdr:rowOff>
        </xdr:to>
        <xdr:sp macro="" textlink="">
          <xdr:nvSpPr>
            <xdr:cNvPr id="108866" name="Check Box 3394" hidden="1">
              <a:extLst>
                <a:ext uri="{63B3BB69-23CF-44E3-9099-C40C66FF867C}">
                  <a14:compatExt spid="_x0000_s108866"/>
                </a:ext>
                <a:ext uri="{FF2B5EF4-FFF2-40B4-BE49-F238E27FC236}">
                  <a16:creationId xmlns:a16="http://schemas.microsoft.com/office/drawing/2014/main" id="{00000000-0008-0000-0200-00004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355</xdr:row>
          <xdr:rowOff>0</xdr:rowOff>
        </xdr:from>
        <xdr:to>
          <xdr:col>5</xdr:col>
          <xdr:colOff>0</xdr:colOff>
          <xdr:row>356</xdr:row>
          <xdr:rowOff>47625</xdr:rowOff>
        </xdr:to>
        <xdr:sp macro="" textlink="">
          <xdr:nvSpPr>
            <xdr:cNvPr id="108867" name="Check Box 3395" hidden="1">
              <a:extLst>
                <a:ext uri="{63B3BB69-23CF-44E3-9099-C40C66FF867C}">
                  <a14:compatExt spid="_x0000_s108867"/>
                </a:ext>
                <a:ext uri="{FF2B5EF4-FFF2-40B4-BE49-F238E27FC236}">
                  <a16:creationId xmlns:a16="http://schemas.microsoft.com/office/drawing/2014/main" id="{00000000-0008-0000-0200-00004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356</xdr:row>
          <xdr:rowOff>0</xdr:rowOff>
        </xdr:from>
        <xdr:to>
          <xdr:col>5</xdr:col>
          <xdr:colOff>0</xdr:colOff>
          <xdr:row>357</xdr:row>
          <xdr:rowOff>47625</xdr:rowOff>
        </xdr:to>
        <xdr:sp macro="" textlink="">
          <xdr:nvSpPr>
            <xdr:cNvPr id="108868" name="Check Box 3396" hidden="1">
              <a:extLst>
                <a:ext uri="{63B3BB69-23CF-44E3-9099-C40C66FF867C}">
                  <a14:compatExt spid="_x0000_s108868"/>
                </a:ext>
                <a:ext uri="{FF2B5EF4-FFF2-40B4-BE49-F238E27FC236}">
                  <a16:creationId xmlns:a16="http://schemas.microsoft.com/office/drawing/2014/main" id="{00000000-0008-0000-0200-00004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357</xdr:row>
          <xdr:rowOff>0</xdr:rowOff>
        </xdr:from>
        <xdr:to>
          <xdr:col>5</xdr:col>
          <xdr:colOff>0</xdr:colOff>
          <xdr:row>358</xdr:row>
          <xdr:rowOff>47625</xdr:rowOff>
        </xdr:to>
        <xdr:sp macro="" textlink="">
          <xdr:nvSpPr>
            <xdr:cNvPr id="108869" name="Check Box 3397" hidden="1">
              <a:extLst>
                <a:ext uri="{63B3BB69-23CF-44E3-9099-C40C66FF867C}">
                  <a14:compatExt spid="_x0000_s108869"/>
                </a:ext>
                <a:ext uri="{FF2B5EF4-FFF2-40B4-BE49-F238E27FC236}">
                  <a16:creationId xmlns:a16="http://schemas.microsoft.com/office/drawing/2014/main" id="{00000000-0008-0000-0200-00004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358</xdr:row>
          <xdr:rowOff>0</xdr:rowOff>
        </xdr:from>
        <xdr:to>
          <xdr:col>5</xdr:col>
          <xdr:colOff>0</xdr:colOff>
          <xdr:row>359</xdr:row>
          <xdr:rowOff>47625</xdr:rowOff>
        </xdr:to>
        <xdr:sp macro="" textlink="">
          <xdr:nvSpPr>
            <xdr:cNvPr id="108870" name="Check Box 3398" hidden="1">
              <a:extLst>
                <a:ext uri="{63B3BB69-23CF-44E3-9099-C40C66FF867C}">
                  <a14:compatExt spid="_x0000_s108870"/>
                </a:ext>
                <a:ext uri="{FF2B5EF4-FFF2-40B4-BE49-F238E27FC236}">
                  <a16:creationId xmlns:a16="http://schemas.microsoft.com/office/drawing/2014/main" id="{00000000-0008-0000-0200-00004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359</xdr:row>
          <xdr:rowOff>0</xdr:rowOff>
        </xdr:from>
        <xdr:to>
          <xdr:col>5</xdr:col>
          <xdr:colOff>0</xdr:colOff>
          <xdr:row>360</xdr:row>
          <xdr:rowOff>47625</xdr:rowOff>
        </xdr:to>
        <xdr:sp macro="" textlink="">
          <xdr:nvSpPr>
            <xdr:cNvPr id="108871" name="Check Box 3399" hidden="1">
              <a:extLst>
                <a:ext uri="{63B3BB69-23CF-44E3-9099-C40C66FF867C}">
                  <a14:compatExt spid="_x0000_s108871"/>
                </a:ext>
                <a:ext uri="{FF2B5EF4-FFF2-40B4-BE49-F238E27FC236}">
                  <a16:creationId xmlns:a16="http://schemas.microsoft.com/office/drawing/2014/main" id="{00000000-0008-0000-0200-00004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360</xdr:row>
          <xdr:rowOff>0</xdr:rowOff>
        </xdr:from>
        <xdr:to>
          <xdr:col>5</xdr:col>
          <xdr:colOff>0</xdr:colOff>
          <xdr:row>361</xdr:row>
          <xdr:rowOff>47625</xdr:rowOff>
        </xdr:to>
        <xdr:sp macro="" textlink="">
          <xdr:nvSpPr>
            <xdr:cNvPr id="108872" name="Check Box 3400" hidden="1">
              <a:extLst>
                <a:ext uri="{63B3BB69-23CF-44E3-9099-C40C66FF867C}">
                  <a14:compatExt spid="_x0000_s108872"/>
                </a:ext>
                <a:ext uri="{FF2B5EF4-FFF2-40B4-BE49-F238E27FC236}">
                  <a16:creationId xmlns:a16="http://schemas.microsoft.com/office/drawing/2014/main" id="{00000000-0008-0000-0200-00004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361</xdr:row>
          <xdr:rowOff>0</xdr:rowOff>
        </xdr:from>
        <xdr:to>
          <xdr:col>5</xdr:col>
          <xdr:colOff>0</xdr:colOff>
          <xdr:row>362</xdr:row>
          <xdr:rowOff>47625</xdr:rowOff>
        </xdr:to>
        <xdr:sp macro="" textlink="">
          <xdr:nvSpPr>
            <xdr:cNvPr id="108873" name="Check Box 3401" hidden="1">
              <a:extLst>
                <a:ext uri="{63B3BB69-23CF-44E3-9099-C40C66FF867C}">
                  <a14:compatExt spid="_x0000_s108873"/>
                </a:ext>
                <a:ext uri="{FF2B5EF4-FFF2-40B4-BE49-F238E27FC236}">
                  <a16:creationId xmlns:a16="http://schemas.microsoft.com/office/drawing/2014/main" id="{00000000-0008-0000-0200-00004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362</xdr:row>
          <xdr:rowOff>0</xdr:rowOff>
        </xdr:from>
        <xdr:to>
          <xdr:col>5</xdr:col>
          <xdr:colOff>0</xdr:colOff>
          <xdr:row>363</xdr:row>
          <xdr:rowOff>47625</xdr:rowOff>
        </xdr:to>
        <xdr:sp macro="" textlink="">
          <xdr:nvSpPr>
            <xdr:cNvPr id="108874" name="Check Box 3402" hidden="1">
              <a:extLst>
                <a:ext uri="{63B3BB69-23CF-44E3-9099-C40C66FF867C}">
                  <a14:compatExt spid="_x0000_s108874"/>
                </a:ext>
                <a:ext uri="{FF2B5EF4-FFF2-40B4-BE49-F238E27FC236}">
                  <a16:creationId xmlns:a16="http://schemas.microsoft.com/office/drawing/2014/main" id="{00000000-0008-0000-0200-00004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363</xdr:row>
          <xdr:rowOff>0</xdr:rowOff>
        </xdr:from>
        <xdr:to>
          <xdr:col>5</xdr:col>
          <xdr:colOff>0</xdr:colOff>
          <xdr:row>364</xdr:row>
          <xdr:rowOff>47625</xdr:rowOff>
        </xdr:to>
        <xdr:sp macro="" textlink="">
          <xdr:nvSpPr>
            <xdr:cNvPr id="108875" name="Check Box 3403" hidden="1">
              <a:extLst>
                <a:ext uri="{63B3BB69-23CF-44E3-9099-C40C66FF867C}">
                  <a14:compatExt spid="_x0000_s108875"/>
                </a:ext>
                <a:ext uri="{FF2B5EF4-FFF2-40B4-BE49-F238E27FC236}">
                  <a16:creationId xmlns:a16="http://schemas.microsoft.com/office/drawing/2014/main" id="{00000000-0008-0000-0200-00004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364</xdr:row>
          <xdr:rowOff>0</xdr:rowOff>
        </xdr:from>
        <xdr:to>
          <xdr:col>5</xdr:col>
          <xdr:colOff>0</xdr:colOff>
          <xdr:row>365</xdr:row>
          <xdr:rowOff>47625</xdr:rowOff>
        </xdr:to>
        <xdr:sp macro="" textlink="">
          <xdr:nvSpPr>
            <xdr:cNvPr id="108876" name="Check Box 3404" hidden="1">
              <a:extLst>
                <a:ext uri="{63B3BB69-23CF-44E3-9099-C40C66FF867C}">
                  <a14:compatExt spid="_x0000_s108876"/>
                </a:ext>
                <a:ext uri="{FF2B5EF4-FFF2-40B4-BE49-F238E27FC236}">
                  <a16:creationId xmlns:a16="http://schemas.microsoft.com/office/drawing/2014/main" id="{00000000-0008-0000-0200-00004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365</xdr:row>
          <xdr:rowOff>0</xdr:rowOff>
        </xdr:from>
        <xdr:to>
          <xdr:col>5</xdr:col>
          <xdr:colOff>0</xdr:colOff>
          <xdr:row>366</xdr:row>
          <xdr:rowOff>47625</xdr:rowOff>
        </xdr:to>
        <xdr:sp macro="" textlink="">
          <xdr:nvSpPr>
            <xdr:cNvPr id="108877" name="Check Box 3405" hidden="1">
              <a:extLst>
                <a:ext uri="{63B3BB69-23CF-44E3-9099-C40C66FF867C}">
                  <a14:compatExt spid="_x0000_s108877"/>
                </a:ext>
                <a:ext uri="{FF2B5EF4-FFF2-40B4-BE49-F238E27FC236}">
                  <a16:creationId xmlns:a16="http://schemas.microsoft.com/office/drawing/2014/main" id="{00000000-0008-0000-0200-00004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366</xdr:row>
          <xdr:rowOff>0</xdr:rowOff>
        </xdr:from>
        <xdr:to>
          <xdr:col>5</xdr:col>
          <xdr:colOff>0</xdr:colOff>
          <xdr:row>367</xdr:row>
          <xdr:rowOff>47625</xdr:rowOff>
        </xdr:to>
        <xdr:sp macro="" textlink="">
          <xdr:nvSpPr>
            <xdr:cNvPr id="108878" name="Check Box 3406" hidden="1">
              <a:extLst>
                <a:ext uri="{63B3BB69-23CF-44E3-9099-C40C66FF867C}">
                  <a14:compatExt spid="_x0000_s108878"/>
                </a:ext>
                <a:ext uri="{FF2B5EF4-FFF2-40B4-BE49-F238E27FC236}">
                  <a16:creationId xmlns:a16="http://schemas.microsoft.com/office/drawing/2014/main" id="{00000000-0008-0000-0200-00004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367</xdr:row>
          <xdr:rowOff>0</xdr:rowOff>
        </xdr:from>
        <xdr:to>
          <xdr:col>5</xdr:col>
          <xdr:colOff>0</xdr:colOff>
          <xdr:row>368</xdr:row>
          <xdr:rowOff>47625</xdr:rowOff>
        </xdr:to>
        <xdr:sp macro="" textlink="">
          <xdr:nvSpPr>
            <xdr:cNvPr id="108879" name="Check Box 3407" hidden="1">
              <a:extLst>
                <a:ext uri="{63B3BB69-23CF-44E3-9099-C40C66FF867C}">
                  <a14:compatExt spid="_x0000_s108879"/>
                </a:ext>
                <a:ext uri="{FF2B5EF4-FFF2-40B4-BE49-F238E27FC236}">
                  <a16:creationId xmlns:a16="http://schemas.microsoft.com/office/drawing/2014/main" id="{00000000-0008-0000-0200-00004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368</xdr:row>
          <xdr:rowOff>0</xdr:rowOff>
        </xdr:from>
        <xdr:to>
          <xdr:col>5</xdr:col>
          <xdr:colOff>0</xdr:colOff>
          <xdr:row>369</xdr:row>
          <xdr:rowOff>47625</xdr:rowOff>
        </xdr:to>
        <xdr:sp macro="" textlink="">
          <xdr:nvSpPr>
            <xdr:cNvPr id="108880" name="Check Box 3408" hidden="1">
              <a:extLst>
                <a:ext uri="{63B3BB69-23CF-44E3-9099-C40C66FF867C}">
                  <a14:compatExt spid="_x0000_s108880"/>
                </a:ext>
                <a:ext uri="{FF2B5EF4-FFF2-40B4-BE49-F238E27FC236}">
                  <a16:creationId xmlns:a16="http://schemas.microsoft.com/office/drawing/2014/main" id="{00000000-0008-0000-0200-00005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369</xdr:row>
          <xdr:rowOff>0</xdr:rowOff>
        </xdr:from>
        <xdr:to>
          <xdr:col>5</xdr:col>
          <xdr:colOff>0</xdr:colOff>
          <xdr:row>370</xdr:row>
          <xdr:rowOff>47625</xdr:rowOff>
        </xdr:to>
        <xdr:sp macro="" textlink="">
          <xdr:nvSpPr>
            <xdr:cNvPr id="108881" name="Check Box 3409" hidden="1">
              <a:extLst>
                <a:ext uri="{63B3BB69-23CF-44E3-9099-C40C66FF867C}">
                  <a14:compatExt spid="_x0000_s108881"/>
                </a:ext>
                <a:ext uri="{FF2B5EF4-FFF2-40B4-BE49-F238E27FC236}">
                  <a16:creationId xmlns:a16="http://schemas.microsoft.com/office/drawing/2014/main" id="{00000000-0008-0000-0200-00005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370</xdr:row>
          <xdr:rowOff>0</xdr:rowOff>
        </xdr:from>
        <xdr:to>
          <xdr:col>5</xdr:col>
          <xdr:colOff>0</xdr:colOff>
          <xdr:row>371</xdr:row>
          <xdr:rowOff>47625</xdr:rowOff>
        </xdr:to>
        <xdr:sp macro="" textlink="">
          <xdr:nvSpPr>
            <xdr:cNvPr id="108882" name="Check Box 3410" hidden="1">
              <a:extLst>
                <a:ext uri="{63B3BB69-23CF-44E3-9099-C40C66FF867C}">
                  <a14:compatExt spid="_x0000_s108882"/>
                </a:ext>
                <a:ext uri="{FF2B5EF4-FFF2-40B4-BE49-F238E27FC236}">
                  <a16:creationId xmlns:a16="http://schemas.microsoft.com/office/drawing/2014/main" id="{00000000-0008-0000-0200-00005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371</xdr:row>
          <xdr:rowOff>0</xdr:rowOff>
        </xdr:from>
        <xdr:to>
          <xdr:col>5</xdr:col>
          <xdr:colOff>0</xdr:colOff>
          <xdr:row>372</xdr:row>
          <xdr:rowOff>47625</xdr:rowOff>
        </xdr:to>
        <xdr:sp macro="" textlink="">
          <xdr:nvSpPr>
            <xdr:cNvPr id="108883" name="Check Box 3411" hidden="1">
              <a:extLst>
                <a:ext uri="{63B3BB69-23CF-44E3-9099-C40C66FF867C}">
                  <a14:compatExt spid="_x0000_s108883"/>
                </a:ext>
                <a:ext uri="{FF2B5EF4-FFF2-40B4-BE49-F238E27FC236}">
                  <a16:creationId xmlns:a16="http://schemas.microsoft.com/office/drawing/2014/main" id="{00000000-0008-0000-0200-00005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372</xdr:row>
          <xdr:rowOff>0</xdr:rowOff>
        </xdr:from>
        <xdr:to>
          <xdr:col>5</xdr:col>
          <xdr:colOff>0</xdr:colOff>
          <xdr:row>373</xdr:row>
          <xdr:rowOff>47625</xdr:rowOff>
        </xdr:to>
        <xdr:sp macro="" textlink="">
          <xdr:nvSpPr>
            <xdr:cNvPr id="108884" name="Check Box 3412" hidden="1">
              <a:extLst>
                <a:ext uri="{63B3BB69-23CF-44E3-9099-C40C66FF867C}">
                  <a14:compatExt spid="_x0000_s108884"/>
                </a:ext>
                <a:ext uri="{FF2B5EF4-FFF2-40B4-BE49-F238E27FC236}">
                  <a16:creationId xmlns:a16="http://schemas.microsoft.com/office/drawing/2014/main" id="{00000000-0008-0000-0200-00005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373</xdr:row>
          <xdr:rowOff>0</xdr:rowOff>
        </xdr:from>
        <xdr:to>
          <xdr:col>5</xdr:col>
          <xdr:colOff>0</xdr:colOff>
          <xdr:row>374</xdr:row>
          <xdr:rowOff>47625</xdr:rowOff>
        </xdr:to>
        <xdr:sp macro="" textlink="">
          <xdr:nvSpPr>
            <xdr:cNvPr id="108885" name="Check Box 3413" hidden="1">
              <a:extLst>
                <a:ext uri="{63B3BB69-23CF-44E3-9099-C40C66FF867C}">
                  <a14:compatExt spid="_x0000_s108885"/>
                </a:ext>
                <a:ext uri="{FF2B5EF4-FFF2-40B4-BE49-F238E27FC236}">
                  <a16:creationId xmlns:a16="http://schemas.microsoft.com/office/drawing/2014/main" id="{00000000-0008-0000-0200-00005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374</xdr:row>
          <xdr:rowOff>0</xdr:rowOff>
        </xdr:from>
        <xdr:to>
          <xdr:col>5</xdr:col>
          <xdr:colOff>0</xdr:colOff>
          <xdr:row>375</xdr:row>
          <xdr:rowOff>47625</xdr:rowOff>
        </xdr:to>
        <xdr:sp macro="" textlink="">
          <xdr:nvSpPr>
            <xdr:cNvPr id="108886" name="Check Box 3414" hidden="1">
              <a:extLst>
                <a:ext uri="{63B3BB69-23CF-44E3-9099-C40C66FF867C}">
                  <a14:compatExt spid="_x0000_s108886"/>
                </a:ext>
                <a:ext uri="{FF2B5EF4-FFF2-40B4-BE49-F238E27FC236}">
                  <a16:creationId xmlns:a16="http://schemas.microsoft.com/office/drawing/2014/main" id="{00000000-0008-0000-0200-00005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375</xdr:row>
          <xdr:rowOff>0</xdr:rowOff>
        </xdr:from>
        <xdr:to>
          <xdr:col>5</xdr:col>
          <xdr:colOff>0</xdr:colOff>
          <xdr:row>376</xdr:row>
          <xdr:rowOff>47625</xdr:rowOff>
        </xdr:to>
        <xdr:sp macro="" textlink="">
          <xdr:nvSpPr>
            <xdr:cNvPr id="108887" name="Check Box 3415" hidden="1">
              <a:extLst>
                <a:ext uri="{63B3BB69-23CF-44E3-9099-C40C66FF867C}">
                  <a14:compatExt spid="_x0000_s108887"/>
                </a:ext>
                <a:ext uri="{FF2B5EF4-FFF2-40B4-BE49-F238E27FC236}">
                  <a16:creationId xmlns:a16="http://schemas.microsoft.com/office/drawing/2014/main" id="{00000000-0008-0000-0200-00005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376</xdr:row>
          <xdr:rowOff>0</xdr:rowOff>
        </xdr:from>
        <xdr:to>
          <xdr:col>5</xdr:col>
          <xdr:colOff>0</xdr:colOff>
          <xdr:row>377</xdr:row>
          <xdr:rowOff>47625</xdr:rowOff>
        </xdr:to>
        <xdr:sp macro="" textlink="">
          <xdr:nvSpPr>
            <xdr:cNvPr id="108888" name="Check Box 3416" hidden="1">
              <a:extLst>
                <a:ext uri="{63B3BB69-23CF-44E3-9099-C40C66FF867C}">
                  <a14:compatExt spid="_x0000_s108888"/>
                </a:ext>
                <a:ext uri="{FF2B5EF4-FFF2-40B4-BE49-F238E27FC236}">
                  <a16:creationId xmlns:a16="http://schemas.microsoft.com/office/drawing/2014/main" id="{00000000-0008-0000-0200-00005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377</xdr:row>
          <xdr:rowOff>0</xdr:rowOff>
        </xdr:from>
        <xdr:to>
          <xdr:col>5</xdr:col>
          <xdr:colOff>0</xdr:colOff>
          <xdr:row>378</xdr:row>
          <xdr:rowOff>47625</xdr:rowOff>
        </xdr:to>
        <xdr:sp macro="" textlink="">
          <xdr:nvSpPr>
            <xdr:cNvPr id="108889" name="Check Box 3417" hidden="1">
              <a:extLst>
                <a:ext uri="{63B3BB69-23CF-44E3-9099-C40C66FF867C}">
                  <a14:compatExt spid="_x0000_s108889"/>
                </a:ext>
                <a:ext uri="{FF2B5EF4-FFF2-40B4-BE49-F238E27FC236}">
                  <a16:creationId xmlns:a16="http://schemas.microsoft.com/office/drawing/2014/main" id="{00000000-0008-0000-0200-00005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378</xdr:row>
          <xdr:rowOff>0</xdr:rowOff>
        </xdr:from>
        <xdr:to>
          <xdr:col>5</xdr:col>
          <xdr:colOff>0</xdr:colOff>
          <xdr:row>379</xdr:row>
          <xdr:rowOff>47625</xdr:rowOff>
        </xdr:to>
        <xdr:sp macro="" textlink="">
          <xdr:nvSpPr>
            <xdr:cNvPr id="108890" name="Check Box 3418" hidden="1">
              <a:extLst>
                <a:ext uri="{63B3BB69-23CF-44E3-9099-C40C66FF867C}">
                  <a14:compatExt spid="_x0000_s108890"/>
                </a:ext>
                <a:ext uri="{FF2B5EF4-FFF2-40B4-BE49-F238E27FC236}">
                  <a16:creationId xmlns:a16="http://schemas.microsoft.com/office/drawing/2014/main" id="{00000000-0008-0000-0200-00005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379</xdr:row>
          <xdr:rowOff>0</xdr:rowOff>
        </xdr:from>
        <xdr:to>
          <xdr:col>5</xdr:col>
          <xdr:colOff>0</xdr:colOff>
          <xdr:row>380</xdr:row>
          <xdr:rowOff>47625</xdr:rowOff>
        </xdr:to>
        <xdr:sp macro="" textlink="">
          <xdr:nvSpPr>
            <xdr:cNvPr id="108891" name="Check Box 3419" hidden="1">
              <a:extLst>
                <a:ext uri="{63B3BB69-23CF-44E3-9099-C40C66FF867C}">
                  <a14:compatExt spid="_x0000_s108891"/>
                </a:ext>
                <a:ext uri="{FF2B5EF4-FFF2-40B4-BE49-F238E27FC236}">
                  <a16:creationId xmlns:a16="http://schemas.microsoft.com/office/drawing/2014/main" id="{00000000-0008-0000-0200-00005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380</xdr:row>
          <xdr:rowOff>0</xdr:rowOff>
        </xdr:from>
        <xdr:to>
          <xdr:col>5</xdr:col>
          <xdr:colOff>0</xdr:colOff>
          <xdr:row>381</xdr:row>
          <xdr:rowOff>47625</xdr:rowOff>
        </xdr:to>
        <xdr:sp macro="" textlink="">
          <xdr:nvSpPr>
            <xdr:cNvPr id="108892" name="Check Box 3420" hidden="1">
              <a:extLst>
                <a:ext uri="{63B3BB69-23CF-44E3-9099-C40C66FF867C}">
                  <a14:compatExt spid="_x0000_s108892"/>
                </a:ext>
                <a:ext uri="{FF2B5EF4-FFF2-40B4-BE49-F238E27FC236}">
                  <a16:creationId xmlns:a16="http://schemas.microsoft.com/office/drawing/2014/main" id="{00000000-0008-0000-0200-00005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381</xdr:row>
          <xdr:rowOff>0</xdr:rowOff>
        </xdr:from>
        <xdr:to>
          <xdr:col>5</xdr:col>
          <xdr:colOff>0</xdr:colOff>
          <xdr:row>382</xdr:row>
          <xdr:rowOff>47625</xdr:rowOff>
        </xdr:to>
        <xdr:sp macro="" textlink="">
          <xdr:nvSpPr>
            <xdr:cNvPr id="108893" name="Check Box 3421" hidden="1">
              <a:extLst>
                <a:ext uri="{63B3BB69-23CF-44E3-9099-C40C66FF867C}">
                  <a14:compatExt spid="_x0000_s108893"/>
                </a:ext>
                <a:ext uri="{FF2B5EF4-FFF2-40B4-BE49-F238E27FC236}">
                  <a16:creationId xmlns:a16="http://schemas.microsoft.com/office/drawing/2014/main" id="{00000000-0008-0000-0200-00005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382</xdr:row>
          <xdr:rowOff>0</xdr:rowOff>
        </xdr:from>
        <xdr:to>
          <xdr:col>5</xdr:col>
          <xdr:colOff>0</xdr:colOff>
          <xdr:row>383</xdr:row>
          <xdr:rowOff>47625</xdr:rowOff>
        </xdr:to>
        <xdr:sp macro="" textlink="">
          <xdr:nvSpPr>
            <xdr:cNvPr id="108894" name="Check Box 3422" hidden="1">
              <a:extLst>
                <a:ext uri="{63B3BB69-23CF-44E3-9099-C40C66FF867C}">
                  <a14:compatExt spid="_x0000_s108894"/>
                </a:ext>
                <a:ext uri="{FF2B5EF4-FFF2-40B4-BE49-F238E27FC236}">
                  <a16:creationId xmlns:a16="http://schemas.microsoft.com/office/drawing/2014/main" id="{00000000-0008-0000-0200-00005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383</xdr:row>
          <xdr:rowOff>0</xdr:rowOff>
        </xdr:from>
        <xdr:to>
          <xdr:col>5</xdr:col>
          <xdr:colOff>0</xdr:colOff>
          <xdr:row>384</xdr:row>
          <xdr:rowOff>47625</xdr:rowOff>
        </xdr:to>
        <xdr:sp macro="" textlink="">
          <xdr:nvSpPr>
            <xdr:cNvPr id="108895" name="Check Box 3423" hidden="1">
              <a:extLst>
                <a:ext uri="{63B3BB69-23CF-44E3-9099-C40C66FF867C}">
                  <a14:compatExt spid="_x0000_s108895"/>
                </a:ext>
                <a:ext uri="{FF2B5EF4-FFF2-40B4-BE49-F238E27FC236}">
                  <a16:creationId xmlns:a16="http://schemas.microsoft.com/office/drawing/2014/main" id="{00000000-0008-0000-0200-00005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384</xdr:row>
          <xdr:rowOff>0</xdr:rowOff>
        </xdr:from>
        <xdr:to>
          <xdr:col>5</xdr:col>
          <xdr:colOff>0</xdr:colOff>
          <xdr:row>385</xdr:row>
          <xdr:rowOff>47625</xdr:rowOff>
        </xdr:to>
        <xdr:sp macro="" textlink="">
          <xdr:nvSpPr>
            <xdr:cNvPr id="108896" name="Check Box 3424" hidden="1">
              <a:extLst>
                <a:ext uri="{63B3BB69-23CF-44E3-9099-C40C66FF867C}">
                  <a14:compatExt spid="_x0000_s108896"/>
                </a:ext>
                <a:ext uri="{FF2B5EF4-FFF2-40B4-BE49-F238E27FC236}">
                  <a16:creationId xmlns:a16="http://schemas.microsoft.com/office/drawing/2014/main" id="{00000000-0008-0000-0200-00006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385</xdr:row>
          <xdr:rowOff>0</xdr:rowOff>
        </xdr:from>
        <xdr:to>
          <xdr:col>5</xdr:col>
          <xdr:colOff>0</xdr:colOff>
          <xdr:row>386</xdr:row>
          <xdr:rowOff>47625</xdr:rowOff>
        </xdr:to>
        <xdr:sp macro="" textlink="">
          <xdr:nvSpPr>
            <xdr:cNvPr id="108897" name="Check Box 3425" hidden="1">
              <a:extLst>
                <a:ext uri="{63B3BB69-23CF-44E3-9099-C40C66FF867C}">
                  <a14:compatExt spid="_x0000_s108897"/>
                </a:ext>
                <a:ext uri="{FF2B5EF4-FFF2-40B4-BE49-F238E27FC236}">
                  <a16:creationId xmlns:a16="http://schemas.microsoft.com/office/drawing/2014/main" id="{00000000-0008-0000-0200-00006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386</xdr:row>
          <xdr:rowOff>0</xdr:rowOff>
        </xdr:from>
        <xdr:to>
          <xdr:col>5</xdr:col>
          <xdr:colOff>0</xdr:colOff>
          <xdr:row>387</xdr:row>
          <xdr:rowOff>47625</xdr:rowOff>
        </xdr:to>
        <xdr:sp macro="" textlink="">
          <xdr:nvSpPr>
            <xdr:cNvPr id="108898" name="Check Box 3426" hidden="1">
              <a:extLst>
                <a:ext uri="{63B3BB69-23CF-44E3-9099-C40C66FF867C}">
                  <a14:compatExt spid="_x0000_s108898"/>
                </a:ext>
                <a:ext uri="{FF2B5EF4-FFF2-40B4-BE49-F238E27FC236}">
                  <a16:creationId xmlns:a16="http://schemas.microsoft.com/office/drawing/2014/main" id="{00000000-0008-0000-0200-00006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387</xdr:row>
          <xdr:rowOff>0</xdr:rowOff>
        </xdr:from>
        <xdr:to>
          <xdr:col>5</xdr:col>
          <xdr:colOff>0</xdr:colOff>
          <xdr:row>388</xdr:row>
          <xdr:rowOff>47625</xdr:rowOff>
        </xdr:to>
        <xdr:sp macro="" textlink="">
          <xdr:nvSpPr>
            <xdr:cNvPr id="108899" name="Check Box 3427" hidden="1">
              <a:extLst>
                <a:ext uri="{63B3BB69-23CF-44E3-9099-C40C66FF867C}">
                  <a14:compatExt spid="_x0000_s108899"/>
                </a:ext>
                <a:ext uri="{FF2B5EF4-FFF2-40B4-BE49-F238E27FC236}">
                  <a16:creationId xmlns:a16="http://schemas.microsoft.com/office/drawing/2014/main" id="{00000000-0008-0000-0200-00006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388</xdr:row>
          <xdr:rowOff>0</xdr:rowOff>
        </xdr:from>
        <xdr:to>
          <xdr:col>5</xdr:col>
          <xdr:colOff>0</xdr:colOff>
          <xdr:row>389</xdr:row>
          <xdr:rowOff>47625</xdr:rowOff>
        </xdr:to>
        <xdr:sp macro="" textlink="">
          <xdr:nvSpPr>
            <xdr:cNvPr id="108900" name="Check Box 3428" hidden="1">
              <a:extLst>
                <a:ext uri="{63B3BB69-23CF-44E3-9099-C40C66FF867C}">
                  <a14:compatExt spid="_x0000_s108900"/>
                </a:ext>
                <a:ext uri="{FF2B5EF4-FFF2-40B4-BE49-F238E27FC236}">
                  <a16:creationId xmlns:a16="http://schemas.microsoft.com/office/drawing/2014/main" id="{00000000-0008-0000-0200-00006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389</xdr:row>
          <xdr:rowOff>0</xdr:rowOff>
        </xdr:from>
        <xdr:to>
          <xdr:col>5</xdr:col>
          <xdr:colOff>0</xdr:colOff>
          <xdr:row>390</xdr:row>
          <xdr:rowOff>47625</xdr:rowOff>
        </xdr:to>
        <xdr:sp macro="" textlink="">
          <xdr:nvSpPr>
            <xdr:cNvPr id="108901" name="Check Box 3429" hidden="1">
              <a:extLst>
                <a:ext uri="{63B3BB69-23CF-44E3-9099-C40C66FF867C}">
                  <a14:compatExt spid="_x0000_s108901"/>
                </a:ext>
                <a:ext uri="{FF2B5EF4-FFF2-40B4-BE49-F238E27FC236}">
                  <a16:creationId xmlns:a16="http://schemas.microsoft.com/office/drawing/2014/main" id="{00000000-0008-0000-0200-00006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390</xdr:row>
          <xdr:rowOff>0</xdr:rowOff>
        </xdr:from>
        <xdr:to>
          <xdr:col>5</xdr:col>
          <xdr:colOff>0</xdr:colOff>
          <xdr:row>391</xdr:row>
          <xdr:rowOff>47625</xdr:rowOff>
        </xdr:to>
        <xdr:sp macro="" textlink="">
          <xdr:nvSpPr>
            <xdr:cNvPr id="108902" name="Check Box 3430" hidden="1">
              <a:extLst>
                <a:ext uri="{63B3BB69-23CF-44E3-9099-C40C66FF867C}">
                  <a14:compatExt spid="_x0000_s108902"/>
                </a:ext>
                <a:ext uri="{FF2B5EF4-FFF2-40B4-BE49-F238E27FC236}">
                  <a16:creationId xmlns:a16="http://schemas.microsoft.com/office/drawing/2014/main" id="{00000000-0008-0000-0200-00006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391</xdr:row>
          <xdr:rowOff>0</xdr:rowOff>
        </xdr:from>
        <xdr:to>
          <xdr:col>5</xdr:col>
          <xdr:colOff>0</xdr:colOff>
          <xdr:row>392</xdr:row>
          <xdr:rowOff>47625</xdr:rowOff>
        </xdr:to>
        <xdr:sp macro="" textlink="">
          <xdr:nvSpPr>
            <xdr:cNvPr id="108903" name="Check Box 3431" hidden="1">
              <a:extLst>
                <a:ext uri="{63B3BB69-23CF-44E3-9099-C40C66FF867C}">
                  <a14:compatExt spid="_x0000_s108903"/>
                </a:ext>
                <a:ext uri="{FF2B5EF4-FFF2-40B4-BE49-F238E27FC236}">
                  <a16:creationId xmlns:a16="http://schemas.microsoft.com/office/drawing/2014/main" id="{00000000-0008-0000-0200-00006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392</xdr:row>
          <xdr:rowOff>0</xdr:rowOff>
        </xdr:from>
        <xdr:to>
          <xdr:col>5</xdr:col>
          <xdr:colOff>0</xdr:colOff>
          <xdr:row>393</xdr:row>
          <xdr:rowOff>47625</xdr:rowOff>
        </xdr:to>
        <xdr:sp macro="" textlink="">
          <xdr:nvSpPr>
            <xdr:cNvPr id="108904" name="Check Box 3432" hidden="1">
              <a:extLst>
                <a:ext uri="{63B3BB69-23CF-44E3-9099-C40C66FF867C}">
                  <a14:compatExt spid="_x0000_s108904"/>
                </a:ext>
                <a:ext uri="{FF2B5EF4-FFF2-40B4-BE49-F238E27FC236}">
                  <a16:creationId xmlns:a16="http://schemas.microsoft.com/office/drawing/2014/main" id="{00000000-0008-0000-0200-00006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393</xdr:row>
          <xdr:rowOff>0</xdr:rowOff>
        </xdr:from>
        <xdr:to>
          <xdr:col>5</xdr:col>
          <xdr:colOff>0</xdr:colOff>
          <xdr:row>394</xdr:row>
          <xdr:rowOff>47625</xdr:rowOff>
        </xdr:to>
        <xdr:sp macro="" textlink="">
          <xdr:nvSpPr>
            <xdr:cNvPr id="108905" name="Check Box 3433" hidden="1">
              <a:extLst>
                <a:ext uri="{63B3BB69-23CF-44E3-9099-C40C66FF867C}">
                  <a14:compatExt spid="_x0000_s108905"/>
                </a:ext>
                <a:ext uri="{FF2B5EF4-FFF2-40B4-BE49-F238E27FC236}">
                  <a16:creationId xmlns:a16="http://schemas.microsoft.com/office/drawing/2014/main" id="{00000000-0008-0000-0200-00006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394</xdr:row>
          <xdr:rowOff>0</xdr:rowOff>
        </xdr:from>
        <xdr:to>
          <xdr:col>5</xdr:col>
          <xdr:colOff>0</xdr:colOff>
          <xdr:row>395</xdr:row>
          <xdr:rowOff>47625</xdr:rowOff>
        </xdr:to>
        <xdr:sp macro="" textlink="">
          <xdr:nvSpPr>
            <xdr:cNvPr id="108906" name="Check Box 3434" hidden="1">
              <a:extLst>
                <a:ext uri="{63B3BB69-23CF-44E3-9099-C40C66FF867C}">
                  <a14:compatExt spid="_x0000_s108906"/>
                </a:ext>
                <a:ext uri="{FF2B5EF4-FFF2-40B4-BE49-F238E27FC236}">
                  <a16:creationId xmlns:a16="http://schemas.microsoft.com/office/drawing/2014/main" id="{00000000-0008-0000-0200-00006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395</xdr:row>
          <xdr:rowOff>0</xdr:rowOff>
        </xdr:from>
        <xdr:to>
          <xdr:col>5</xdr:col>
          <xdr:colOff>0</xdr:colOff>
          <xdr:row>396</xdr:row>
          <xdr:rowOff>47625</xdr:rowOff>
        </xdr:to>
        <xdr:sp macro="" textlink="">
          <xdr:nvSpPr>
            <xdr:cNvPr id="108907" name="Check Box 3435" hidden="1">
              <a:extLst>
                <a:ext uri="{63B3BB69-23CF-44E3-9099-C40C66FF867C}">
                  <a14:compatExt spid="_x0000_s108907"/>
                </a:ext>
                <a:ext uri="{FF2B5EF4-FFF2-40B4-BE49-F238E27FC236}">
                  <a16:creationId xmlns:a16="http://schemas.microsoft.com/office/drawing/2014/main" id="{00000000-0008-0000-0200-00006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396</xdr:row>
          <xdr:rowOff>0</xdr:rowOff>
        </xdr:from>
        <xdr:to>
          <xdr:col>5</xdr:col>
          <xdr:colOff>0</xdr:colOff>
          <xdr:row>397</xdr:row>
          <xdr:rowOff>47625</xdr:rowOff>
        </xdr:to>
        <xdr:sp macro="" textlink="">
          <xdr:nvSpPr>
            <xdr:cNvPr id="108908" name="Check Box 3436" hidden="1">
              <a:extLst>
                <a:ext uri="{63B3BB69-23CF-44E3-9099-C40C66FF867C}">
                  <a14:compatExt spid="_x0000_s108908"/>
                </a:ext>
                <a:ext uri="{FF2B5EF4-FFF2-40B4-BE49-F238E27FC236}">
                  <a16:creationId xmlns:a16="http://schemas.microsoft.com/office/drawing/2014/main" id="{00000000-0008-0000-0200-00006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397</xdr:row>
          <xdr:rowOff>0</xdr:rowOff>
        </xdr:from>
        <xdr:to>
          <xdr:col>5</xdr:col>
          <xdr:colOff>0</xdr:colOff>
          <xdr:row>398</xdr:row>
          <xdr:rowOff>47625</xdr:rowOff>
        </xdr:to>
        <xdr:sp macro="" textlink="">
          <xdr:nvSpPr>
            <xdr:cNvPr id="108909" name="Check Box 3437" hidden="1">
              <a:extLst>
                <a:ext uri="{63B3BB69-23CF-44E3-9099-C40C66FF867C}">
                  <a14:compatExt spid="_x0000_s108909"/>
                </a:ext>
                <a:ext uri="{FF2B5EF4-FFF2-40B4-BE49-F238E27FC236}">
                  <a16:creationId xmlns:a16="http://schemas.microsoft.com/office/drawing/2014/main" id="{00000000-0008-0000-0200-00006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398</xdr:row>
          <xdr:rowOff>0</xdr:rowOff>
        </xdr:from>
        <xdr:to>
          <xdr:col>5</xdr:col>
          <xdr:colOff>0</xdr:colOff>
          <xdr:row>399</xdr:row>
          <xdr:rowOff>47625</xdr:rowOff>
        </xdr:to>
        <xdr:sp macro="" textlink="">
          <xdr:nvSpPr>
            <xdr:cNvPr id="108910" name="Check Box 3438" hidden="1">
              <a:extLst>
                <a:ext uri="{63B3BB69-23CF-44E3-9099-C40C66FF867C}">
                  <a14:compatExt spid="_x0000_s108910"/>
                </a:ext>
                <a:ext uri="{FF2B5EF4-FFF2-40B4-BE49-F238E27FC236}">
                  <a16:creationId xmlns:a16="http://schemas.microsoft.com/office/drawing/2014/main" id="{00000000-0008-0000-0200-00006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399</xdr:row>
          <xdr:rowOff>0</xdr:rowOff>
        </xdr:from>
        <xdr:to>
          <xdr:col>5</xdr:col>
          <xdr:colOff>0</xdr:colOff>
          <xdr:row>400</xdr:row>
          <xdr:rowOff>47625</xdr:rowOff>
        </xdr:to>
        <xdr:sp macro="" textlink="">
          <xdr:nvSpPr>
            <xdr:cNvPr id="108911" name="Check Box 3439" hidden="1">
              <a:extLst>
                <a:ext uri="{63B3BB69-23CF-44E3-9099-C40C66FF867C}">
                  <a14:compatExt spid="_x0000_s108911"/>
                </a:ext>
                <a:ext uri="{FF2B5EF4-FFF2-40B4-BE49-F238E27FC236}">
                  <a16:creationId xmlns:a16="http://schemas.microsoft.com/office/drawing/2014/main" id="{00000000-0008-0000-0200-00006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400</xdr:row>
          <xdr:rowOff>0</xdr:rowOff>
        </xdr:from>
        <xdr:to>
          <xdr:col>5</xdr:col>
          <xdr:colOff>0</xdr:colOff>
          <xdr:row>401</xdr:row>
          <xdr:rowOff>47625</xdr:rowOff>
        </xdr:to>
        <xdr:sp macro="" textlink="">
          <xdr:nvSpPr>
            <xdr:cNvPr id="108912" name="Check Box 3440" hidden="1">
              <a:extLst>
                <a:ext uri="{63B3BB69-23CF-44E3-9099-C40C66FF867C}">
                  <a14:compatExt spid="_x0000_s108912"/>
                </a:ext>
                <a:ext uri="{FF2B5EF4-FFF2-40B4-BE49-F238E27FC236}">
                  <a16:creationId xmlns:a16="http://schemas.microsoft.com/office/drawing/2014/main" id="{00000000-0008-0000-0200-00007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401</xdr:row>
          <xdr:rowOff>0</xdr:rowOff>
        </xdr:from>
        <xdr:to>
          <xdr:col>5</xdr:col>
          <xdr:colOff>0</xdr:colOff>
          <xdr:row>402</xdr:row>
          <xdr:rowOff>47625</xdr:rowOff>
        </xdr:to>
        <xdr:sp macro="" textlink="">
          <xdr:nvSpPr>
            <xdr:cNvPr id="108913" name="Check Box 3441" hidden="1">
              <a:extLst>
                <a:ext uri="{63B3BB69-23CF-44E3-9099-C40C66FF867C}">
                  <a14:compatExt spid="_x0000_s108913"/>
                </a:ext>
                <a:ext uri="{FF2B5EF4-FFF2-40B4-BE49-F238E27FC236}">
                  <a16:creationId xmlns:a16="http://schemas.microsoft.com/office/drawing/2014/main" id="{00000000-0008-0000-0200-00007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402</xdr:row>
          <xdr:rowOff>0</xdr:rowOff>
        </xdr:from>
        <xdr:to>
          <xdr:col>5</xdr:col>
          <xdr:colOff>0</xdr:colOff>
          <xdr:row>403</xdr:row>
          <xdr:rowOff>47625</xdr:rowOff>
        </xdr:to>
        <xdr:sp macro="" textlink="">
          <xdr:nvSpPr>
            <xdr:cNvPr id="108914" name="Check Box 3442" hidden="1">
              <a:extLst>
                <a:ext uri="{63B3BB69-23CF-44E3-9099-C40C66FF867C}">
                  <a14:compatExt spid="_x0000_s108914"/>
                </a:ext>
                <a:ext uri="{FF2B5EF4-FFF2-40B4-BE49-F238E27FC236}">
                  <a16:creationId xmlns:a16="http://schemas.microsoft.com/office/drawing/2014/main" id="{00000000-0008-0000-0200-00007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403</xdr:row>
          <xdr:rowOff>0</xdr:rowOff>
        </xdr:from>
        <xdr:to>
          <xdr:col>5</xdr:col>
          <xdr:colOff>0</xdr:colOff>
          <xdr:row>404</xdr:row>
          <xdr:rowOff>47625</xdr:rowOff>
        </xdr:to>
        <xdr:sp macro="" textlink="">
          <xdr:nvSpPr>
            <xdr:cNvPr id="108915" name="Check Box 3443" hidden="1">
              <a:extLst>
                <a:ext uri="{63B3BB69-23CF-44E3-9099-C40C66FF867C}">
                  <a14:compatExt spid="_x0000_s108915"/>
                </a:ext>
                <a:ext uri="{FF2B5EF4-FFF2-40B4-BE49-F238E27FC236}">
                  <a16:creationId xmlns:a16="http://schemas.microsoft.com/office/drawing/2014/main" id="{00000000-0008-0000-0200-00007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404</xdr:row>
          <xdr:rowOff>0</xdr:rowOff>
        </xdr:from>
        <xdr:to>
          <xdr:col>5</xdr:col>
          <xdr:colOff>0</xdr:colOff>
          <xdr:row>405</xdr:row>
          <xdr:rowOff>47625</xdr:rowOff>
        </xdr:to>
        <xdr:sp macro="" textlink="">
          <xdr:nvSpPr>
            <xdr:cNvPr id="108916" name="Check Box 3444" hidden="1">
              <a:extLst>
                <a:ext uri="{63B3BB69-23CF-44E3-9099-C40C66FF867C}">
                  <a14:compatExt spid="_x0000_s108916"/>
                </a:ext>
                <a:ext uri="{FF2B5EF4-FFF2-40B4-BE49-F238E27FC236}">
                  <a16:creationId xmlns:a16="http://schemas.microsoft.com/office/drawing/2014/main" id="{00000000-0008-0000-0200-00007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405</xdr:row>
          <xdr:rowOff>0</xdr:rowOff>
        </xdr:from>
        <xdr:to>
          <xdr:col>5</xdr:col>
          <xdr:colOff>0</xdr:colOff>
          <xdr:row>406</xdr:row>
          <xdr:rowOff>47625</xdr:rowOff>
        </xdr:to>
        <xdr:sp macro="" textlink="">
          <xdr:nvSpPr>
            <xdr:cNvPr id="108917" name="Check Box 3445" hidden="1">
              <a:extLst>
                <a:ext uri="{63B3BB69-23CF-44E3-9099-C40C66FF867C}">
                  <a14:compatExt spid="_x0000_s108917"/>
                </a:ext>
                <a:ext uri="{FF2B5EF4-FFF2-40B4-BE49-F238E27FC236}">
                  <a16:creationId xmlns:a16="http://schemas.microsoft.com/office/drawing/2014/main" id="{00000000-0008-0000-0200-00007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406</xdr:row>
          <xdr:rowOff>0</xdr:rowOff>
        </xdr:from>
        <xdr:to>
          <xdr:col>5</xdr:col>
          <xdr:colOff>0</xdr:colOff>
          <xdr:row>407</xdr:row>
          <xdr:rowOff>47625</xdr:rowOff>
        </xdr:to>
        <xdr:sp macro="" textlink="">
          <xdr:nvSpPr>
            <xdr:cNvPr id="108918" name="Check Box 3446" hidden="1">
              <a:extLst>
                <a:ext uri="{63B3BB69-23CF-44E3-9099-C40C66FF867C}">
                  <a14:compatExt spid="_x0000_s108918"/>
                </a:ext>
                <a:ext uri="{FF2B5EF4-FFF2-40B4-BE49-F238E27FC236}">
                  <a16:creationId xmlns:a16="http://schemas.microsoft.com/office/drawing/2014/main" id="{00000000-0008-0000-0200-00007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407</xdr:row>
          <xdr:rowOff>0</xdr:rowOff>
        </xdr:from>
        <xdr:to>
          <xdr:col>5</xdr:col>
          <xdr:colOff>0</xdr:colOff>
          <xdr:row>408</xdr:row>
          <xdr:rowOff>47625</xdr:rowOff>
        </xdr:to>
        <xdr:sp macro="" textlink="">
          <xdr:nvSpPr>
            <xdr:cNvPr id="108919" name="Check Box 3447" hidden="1">
              <a:extLst>
                <a:ext uri="{63B3BB69-23CF-44E3-9099-C40C66FF867C}">
                  <a14:compatExt spid="_x0000_s108919"/>
                </a:ext>
                <a:ext uri="{FF2B5EF4-FFF2-40B4-BE49-F238E27FC236}">
                  <a16:creationId xmlns:a16="http://schemas.microsoft.com/office/drawing/2014/main" id="{00000000-0008-0000-0200-00007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408</xdr:row>
          <xdr:rowOff>0</xdr:rowOff>
        </xdr:from>
        <xdr:to>
          <xdr:col>5</xdr:col>
          <xdr:colOff>0</xdr:colOff>
          <xdr:row>409</xdr:row>
          <xdr:rowOff>47625</xdr:rowOff>
        </xdr:to>
        <xdr:sp macro="" textlink="">
          <xdr:nvSpPr>
            <xdr:cNvPr id="108920" name="Check Box 3448" hidden="1">
              <a:extLst>
                <a:ext uri="{63B3BB69-23CF-44E3-9099-C40C66FF867C}">
                  <a14:compatExt spid="_x0000_s108920"/>
                </a:ext>
                <a:ext uri="{FF2B5EF4-FFF2-40B4-BE49-F238E27FC236}">
                  <a16:creationId xmlns:a16="http://schemas.microsoft.com/office/drawing/2014/main" id="{00000000-0008-0000-0200-00007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409</xdr:row>
          <xdr:rowOff>0</xdr:rowOff>
        </xdr:from>
        <xdr:to>
          <xdr:col>5</xdr:col>
          <xdr:colOff>0</xdr:colOff>
          <xdr:row>410</xdr:row>
          <xdr:rowOff>47625</xdr:rowOff>
        </xdr:to>
        <xdr:sp macro="" textlink="">
          <xdr:nvSpPr>
            <xdr:cNvPr id="108921" name="Check Box 3449" hidden="1">
              <a:extLst>
                <a:ext uri="{63B3BB69-23CF-44E3-9099-C40C66FF867C}">
                  <a14:compatExt spid="_x0000_s108921"/>
                </a:ext>
                <a:ext uri="{FF2B5EF4-FFF2-40B4-BE49-F238E27FC236}">
                  <a16:creationId xmlns:a16="http://schemas.microsoft.com/office/drawing/2014/main" id="{00000000-0008-0000-0200-00007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410</xdr:row>
          <xdr:rowOff>0</xdr:rowOff>
        </xdr:from>
        <xdr:to>
          <xdr:col>5</xdr:col>
          <xdr:colOff>0</xdr:colOff>
          <xdr:row>411</xdr:row>
          <xdr:rowOff>47625</xdr:rowOff>
        </xdr:to>
        <xdr:sp macro="" textlink="">
          <xdr:nvSpPr>
            <xdr:cNvPr id="108922" name="Check Box 3450" hidden="1">
              <a:extLst>
                <a:ext uri="{63B3BB69-23CF-44E3-9099-C40C66FF867C}">
                  <a14:compatExt spid="_x0000_s108922"/>
                </a:ext>
                <a:ext uri="{FF2B5EF4-FFF2-40B4-BE49-F238E27FC236}">
                  <a16:creationId xmlns:a16="http://schemas.microsoft.com/office/drawing/2014/main" id="{00000000-0008-0000-0200-00007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411</xdr:row>
          <xdr:rowOff>0</xdr:rowOff>
        </xdr:from>
        <xdr:to>
          <xdr:col>5</xdr:col>
          <xdr:colOff>0</xdr:colOff>
          <xdr:row>412</xdr:row>
          <xdr:rowOff>47625</xdr:rowOff>
        </xdr:to>
        <xdr:sp macro="" textlink="">
          <xdr:nvSpPr>
            <xdr:cNvPr id="108923" name="Check Box 3451" hidden="1">
              <a:extLst>
                <a:ext uri="{63B3BB69-23CF-44E3-9099-C40C66FF867C}">
                  <a14:compatExt spid="_x0000_s108923"/>
                </a:ext>
                <a:ext uri="{FF2B5EF4-FFF2-40B4-BE49-F238E27FC236}">
                  <a16:creationId xmlns:a16="http://schemas.microsoft.com/office/drawing/2014/main" id="{00000000-0008-0000-0200-00007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412</xdr:row>
          <xdr:rowOff>0</xdr:rowOff>
        </xdr:from>
        <xdr:to>
          <xdr:col>5</xdr:col>
          <xdr:colOff>0</xdr:colOff>
          <xdr:row>413</xdr:row>
          <xdr:rowOff>47625</xdr:rowOff>
        </xdr:to>
        <xdr:sp macro="" textlink="">
          <xdr:nvSpPr>
            <xdr:cNvPr id="108924" name="Check Box 3452" hidden="1">
              <a:extLst>
                <a:ext uri="{63B3BB69-23CF-44E3-9099-C40C66FF867C}">
                  <a14:compatExt spid="_x0000_s108924"/>
                </a:ext>
                <a:ext uri="{FF2B5EF4-FFF2-40B4-BE49-F238E27FC236}">
                  <a16:creationId xmlns:a16="http://schemas.microsoft.com/office/drawing/2014/main" id="{00000000-0008-0000-0200-00007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413</xdr:row>
          <xdr:rowOff>0</xdr:rowOff>
        </xdr:from>
        <xdr:to>
          <xdr:col>5</xdr:col>
          <xdr:colOff>0</xdr:colOff>
          <xdr:row>414</xdr:row>
          <xdr:rowOff>47625</xdr:rowOff>
        </xdr:to>
        <xdr:sp macro="" textlink="">
          <xdr:nvSpPr>
            <xdr:cNvPr id="108925" name="Check Box 3453" hidden="1">
              <a:extLst>
                <a:ext uri="{63B3BB69-23CF-44E3-9099-C40C66FF867C}">
                  <a14:compatExt spid="_x0000_s108925"/>
                </a:ext>
                <a:ext uri="{FF2B5EF4-FFF2-40B4-BE49-F238E27FC236}">
                  <a16:creationId xmlns:a16="http://schemas.microsoft.com/office/drawing/2014/main" id="{00000000-0008-0000-0200-00007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414</xdr:row>
          <xdr:rowOff>0</xdr:rowOff>
        </xdr:from>
        <xdr:to>
          <xdr:col>5</xdr:col>
          <xdr:colOff>0</xdr:colOff>
          <xdr:row>415</xdr:row>
          <xdr:rowOff>47625</xdr:rowOff>
        </xdr:to>
        <xdr:sp macro="" textlink="">
          <xdr:nvSpPr>
            <xdr:cNvPr id="108926" name="Check Box 3454" hidden="1">
              <a:extLst>
                <a:ext uri="{63B3BB69-23CF-44E3-9099-C40C66FF867C}">
                  <a14:compatExt spid="_x0000_s108926"/>
                </a:ext>
                <a:ext uri="{FF2B5EF4-FFF2-40B4-BE49-F238E27FC236}">
                  <a16:creationId xmlns:a16="http://schemas.microsoft.com/office/drawing/2014/main" id="{00000000-0008-0000-0200-00007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415</xdr:row>
          <xdr:rowOff>0</xdr:rowOff>
        </xdr:from>
        <xdr:to>
          <xdr:col>5</xdr:col>
          <xdr:colOff>0</xdr:colOff>
          <xdr:row>416</xdr:row>
          <xdr:rowOff>47625</xdr:rowOff>
        </xdr:to>
        <xdr:sp macro="" textlink="">
          <xdr:nvSpPr>
            <xdr:cNvPr id="108927" name="Check Box 3455" hidden="1">
              <a:extLst>
                <a:ext uri="{63B3BB69-23CF-44E3-9099-C40C66FF867C}">
                  <a14:compatExt spid="_x0000_s108927"/>
                </a:ext>
                <a:ext uri="{FF2B5EF4-FFF2-40B4-BE49-F238E27FC236}">
                  <a16:creationId xmlns:a16="http://schemas.microsoft.com/office/drawing/2014/main" id="{00000000-0008-0000-0200-00007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416</xdr:row>
          <xdr:rowOff>0</xdr:rowOff>
        </xdr:from>
        <xdr:to>
          <xdr:col>5</xdr:col>
          <xdr:colOff>0</xdr:colOff>
          <xdr:row>417</xdr:row>
          <xdr:rowOff>47625</xdr:rowOff>
        </xdr:to>
        <xdr:sp macro="" textlink="">
          <xdr:nvSpPr>
            <xdr:cNvPr id="108928" name="Check Box 3456" hidden="1">
              <a:extLst>
                <a:ext uri="{63B3BB69-23CF-44E3-9099-C40C66FF867C}">
                  <a14:compatExt spid="_x0000_s108928"/>
                </a:ext>
                <a:ext uri="{FF2B5EF4-FFF2-40B4-BE49-F238E27FC236}">
                  <a16:creationId xmlns:a16="http://schemas.microsoft.com/office/drawing/2014/main" id="{00000000-0008-0000-0200-00008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417</xdr:row>
          <xdr:rowOff>0</xdr:rowOff>
        </xdr:from>
        <xdr:to>
          <xdr:col>5</xdr:col>
          <xdr:colOff>0</xdr:colOff>
          <xdr:row>418</xdr:row>
          <xdr:rowOff>47625</xdr:rowOff>
        </xdr:to>
        <xdr:sp macro="" textlink="">
          <xdr:nvSpPr>
            <xdr:cNvPr id="108929" name="Check Box 3457" hidden="1">
              <a:extLst>
                <a:ext uri="{63B3BB69-23CF-44E3-9099-C40C66FF867C}">
                  <a14:compatExt spid="_x0000_s108929"/>
                </a:ext>
                <a:ext uri="{FF2B5EF4-FFF2-40B4-BE49-F238E27FC236}">
                  <a16:creationId xmlns:a16="http://schemas.microsoft.com/office/drawing/2014/main" id="{00000000-0008-0000-0200-00008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418</xdr:row>
          <xdr:rowOff>0</xdr:rowOff>
        </xdr:from>
        <xdr:to>
          <xdr:col>5</xdr:col>
          <xdr:colOff>0</xdr:colOff>
          <xdr:row>419</xdr:row>
          <xdr:rowOff>47625</xdr:rowOff>
        </xdr:to>
        <xdr:sp macro="" textlink="">
          <xdr:nvSpPr>
            <xdr:cNvPr id="108930" name="Check Box 3458" hidden="1">
              <a:extLst>
                <a:ext uri="{63B3BB69-23CF-44E3-9099-C40C66FF867C}">
                  <a14:compatExt spid="_x0000_s108930"/>
                </a:ext>
                <a:ext uri="{FF2B5EF4-FFF2-40B4-BE49-F238E27FC236}">
                  <a16:creationId xmlns:a16="http://schemas.microsoft.com/office/drawing/2014/main" id="{00000000-0008-0000-0200-00008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419</xdr:row>
          <xdr:rowOff>0</xdr:rowOff>
        </xdr:from>
        <xdr:to>
          <xdr:col>5</xdr:col>
          <xdr:colOff>0</xdr:colOff>
          <xdr:row>420</xdr:row>
          <xdr:rowOff>47625</xdr:rowOff>
        </xdr:to>
        <xdr:sp macro="" textlink="">
          <xdr:nvSpPr>
            <xdr:cNvPr id="108931" name="Check Box 3459" hidden="1">
              <a:extLst>
                <a:ext uri="{63B3BB69-23CF-44E3-9099-C40C66FF867C}">
                  <a14:compatExt spid="_x0000_s108931"/>
                </a:ext>
                <a:ext uri="{FF2B5EF4-FFF2-40B4-BE49-F238E27FC236}">
                  <a16:creationId xmlns:a16="http://schemas.microsoft.com/office/drawing/2014/main" id="{00000000-0008-0000-0200-00008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420</xdr:row>
          <xdr:rowOff>0</xdr:rowOff>
        </xdr:from>
        <xdr:to>
          <xdr:col>5</xdr:col>
          <xdr:colOff>0</xdr:colOff>
          <xdr:row>421</xdr:row>
          <xdr:rowOff>47625</xdr:rowOff>
        </xdr:to>
        <xdr:sp macro="" textlink="">
          <xdr:nvSpPr>
            <xdr:cNvPr id="108932" name="Check Box 3460" hidden="1">
              <a:extLst>
                <a:ext uri="{63B3BB69-23CF-44E3-9099-C40C66FF867C}">
                  <a14:compatExt spid="_x0000_s108932"/>
                </a:ext>
                <a:ext uri="{FF2B5EF4-FFF2-40B4-BE49-F238E27FC236}">
                  <a16:creationId xmlns:a16="http://schemas.microsoft.com/office/drawing/2014/main" id="{00000000-0008-0000-0200-00008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421</xdr:row>
          <xdr:rowOff>0</xdr:rowOff>
        </xdr:from>
        <xdr:to>
          <xdr:col>5</xdr:col>
          <xdr:colOff>0</xdr:colOff>
          <xdr:row>422</xdr:row>
          <xdr:rowOff>47625</xdr:rowOff>
        </xdr:to>
        <xdr:sp macro="" textlink="">
          <xdr:nvSpPr>
            <xdr:cNvPr id="108933" name="Check Box 3461" hidden="1">
              <a:extLst>
                <a:ext uri="{63B3BB69-23CF-44E3-9099-C40C66FF867C}">
                  <a14:compatExt spid="_x0000_s108933"/>
                </a:ext>
                <a:ext uri="{FF2B5EF4-FFF2-40B4-BE49-F238E27FC236}">
                  <a16:creationId xmlns:a16="http://schemas.microsoft.com/office/drawing/2014/main" id="{00000000-0008-0000-0200-00008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422</xdr:row>
          <xdr:rowOff>0</xdr:rowOff>
        </xdr:from>
        <xdr:to>
          <xdr:col>5</xdr:col>
          <xdr:colOff>0</xdr:colOff>
          <xdr:row>423</xdr:row>
          <xdr:rowOff>47625</xdr:rowOff>
        </xdr:to>
        <xdr:sp macro="" textlink="">
          <xdr:nvSpPr>
            <xdr:cNvPr id="108934" name="Check Box 3462" hidden="1">
              <a:extLst>
                <a:ext uri="{63B3BB69-23CF-44E3-9099-C40C66FF867C}">
                  <a14:compatExt spid="_x0000_s108934"/>
                </a:ext>
                <a:ext uri="{FF2B5EF4-FFF2-40B4-BE49-F238E27FC236}">
                  <a16:creationId xmlns:a16="http://schemas.microsoft.com/office/drawing/2014/main" id="{00000000-0008-0000-0200-00008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423</xdr:row>
          <xdr:rowOff>0</xdr:rowOff>
        </xdr:from>
        <xdr:to>
          <xdr:col>5</xdr:col>
          <xdr:colOff>0</xdr:colOff>
          <xdr:row>424</xdr:row>
          <xdr:rowOff>47625</xdr:rowOff>
        </xdr:to>
        <xdr:sp macro="" textlink="">
          <xdr:nvSpPr>
            <xdr:cNvPr id="108935" name="Check Box 3463" hidden="1">
              <a:extLst>
                <a:ext uri="{63B3BB69-23CF-44E3-9099-C40C66FF867C}">
                  <a14:compatExt spid="_x0000_s108935"/>
                </a:ext>
                <a:ext uri="{FF2B5EF4-FFF2-40B4-BE49-F238E27FC236}">
                  <a16:creationId xmlns:a16="http://schemas.microsoft.com/office/drawing/2014/main" id="{00000000-0008-0000-0200-00008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424</xdr:row>
          <xdr:rowOff>0</xdr:rowOff>
        </xdr:from>
        <xdr:to>
          <xdr:col>5</xdr:col>
          <xdr:colOff>0</xdr:colOff>
          <xdr:row>425</xdr:row>
          <xdr:rowOff>47625</xdr:rowOff>
        </xdr:to>
        <xdr:sp macro="" textlink="">
          <xdr:nvSpPr>
            <xdr:cNvPr id="108936" name="Check Box 3464" hidden="1">
              <a:extLst>
                <a:ext uri="{63B3BB69-23CF-44E3-9099-C40C66FF867C}">
                  <a14:compatExt spid="_x0000_s108936"/>
                </a:ext>
                <a:ext uri="{FF2B5EF4-FFF2-40B4-BE49-F238E27FC236}">
                  <a16:creationId xmlns:a16="http://schemas.microsoft.com/office/drawing/2014/main" id="{00000000-0008-0000-0200-00008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425</xdr:row>
          <xdr:rowOff>0</xdr:rowOff>
        </xdr:from>
        <xdr:to>
          <xdr:col>5</xdr:col>
          <xdr:colOff>0</xdr:colOff>
          <xdr:row>426</xdr:row>
          <xdr:rowOff>47625</xdr:rowOff>
        </xdr:to>
        <xdr:sp macro="" textlink="">
          <xdr:nvSpPr>
            <xdr:cNvPr id="108937" name="Check Box 3465" hidden="1">
              <a:extLst>
                <a:ext uri="{63B3BB69-23CF-44E3-9099-C40C66FF867C}">
                  <a14:compatExt spid="_x0000_s108937"/>
                </a:ext>
                <a:ext uri="{FF2B5EF4-FFF2-40B4-BE49-F238E27FC236}">
                  <a16:creationId xmlns:a16="http://schemas.microsoft.com/office/drawing/2014/main" id="{00000000-0008-0000-0200-00008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426</xdr:row>
          <xdr:rowOff>0</xdr:rowOff>
        </xdr:from>
        <xdr:to>
          <xdr:col>5</xdr:col>
          <xdr:colOff>0</xdr:colOff>
          <xdr:row>427</xdr:row>
          <xdr:rowOff>47625</xdr:rowOff>
        </xdr:to>
        <xdr:sp macro="" textlink="">
          <xdr:nvSpPr>
            <xdr:cNvPr id="108938" name="Check Box 3466" hidden="1">
              <a:extLst>
                <a:ext uri="{63B3BB69-23CF-44E3-9099-C40C66FF867C}">
                  <a14:compatExt spid="_x0000_s108938"/>
                </a:ext>
                <a:ext uri="{FF2B5EF4-FFF2-40B4-BE49-F238E27FC236}">
                  <a16:creationId xmlns:a16="http://schemas.microsoft.com/office/drawing/2014/main" id="{00000000-0008-0000-0200-00008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427</xdr:row>
          <xdr:rowOff>0</xdr:rowOff>
        </xdr:from>
        <xdr:to>
          <xdr:col>5</xdr:col>
          <xdr:colOff>0</xdr:colOff>
          <xdr:row>428</xdr:row>
          <xdr:rowOff>47625</xdr:rowOff>
        </xdr:to>
        <xdr:sp macro="" textlink="">
          <xdr:nvSpPr>
            <xdr:cNvPr id="108939" name="Check Box 3467" hidden="1">
              <a:extLst>
                <a:ext uri="{63B3BB69-23CF-44E3-9099-C40C66FF867C}">
                  <a14:compatExt spid="_x0000_s108939"/>
                </a:ext>
                <a:ext uri="{FF2B5EF4-FFF2-40B4-BE49-F238E27FC236}">
                  <a16:creationId xmlns:a16="http://schemas.microsoft.com/office/drawing/2014/main" id="{00000000-0008-0000-0200-00008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428</xdr:row>
          <xdr:rowOff>0</xdr:rowOff>
        </xdr:from>
        <xdr:to>
          <xdr:col>5</xdr:col>
          <xdr:colOff>0</xdr:colOff>
          <xdr:row>429</xdr:row>
          <xdr:rowOff>47625</xdr:rowOff>
        </xdr:to>
        <xdr:sp macro="" textlink="">
          <xdr:nvSpPr>
            <xdr:cNvPr id="108940" name="Check Box 3468" hidden="1">
              <a:extLst>
                <a:ext uri="{63B3BB69-23CF-44E3-9099-C40C66FF867C}">
                  <a14:compatExt spid="_x0000_s108940"/>
                </a:ext>
                <a:ext uri="{FF2B5EF4-FFF2-40B4-BE49-F238E27FC236}">
                  <a16:creationId xmlns:a16="http://schemas.microsoft.com/office/drawing/2014/main" id="{00000000-0008-0000-0200-00008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429</xdr:row>
          <xdr:rowOff>0</xdr:rowOff>
        </xdr:from>
        <xdr:to>
          <xdr:col>5</xdr:col>
          <xdr:colOff>0</xdr:colOff>
          <xdr:row>430</xdr:row>
          <xdr:rowOff>47625</xdr:rowOff>
        </xdr:to>
        <xdr:sp macro="" textlink="">
          <xdr:nvSpPr>
            <xdr:cNvPr id="108941" name="Check Box 3469" hidden="1">
              <a:extLst>
                <a:ext uri="{63B3BB69-23CF-44E3-9099-C40C66FF867C}">
                  <a14:compatExt spid="_x0000_s108941"/>
                </a:ext>
                <a:ext uri="{FF2B5EF4-FFF2-40B4-BE49-F238E27FC236}">
                  <a16:creationId xmlns:a16="http://schemas.microsoft.com/office/drawing/2014/main" id="{00000000-0008-0000-0200-00008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430</xdr:row>
          <xdr:rowOff>0</xdr:rowOff>
        </xdr:from>
        <xdr:to>
          <xdr:col>5</xdr:col>
          <xdr:colOff>0</xdr:colOff>
          <xdr:row>431</xdr:row>
          <xdr:rowOff>47625</xdr:rowOff>
        </xdr:to>
        <xdr:sp macro="" textlink="">
          <xdr:nvSpPr>
            <xdr:cNvPr id="108942" name="Check Box 3470" hidden="1">
              <a:extLst>
                <a:ext uri="{63B3BB69-23CF-44E3-9099-C40C66FF867C}">
                  <a14:compatExt spid="_x0000_s108942"/>
                </a:ext>
                <a:ext uri="{FF2B5EF4-FFF2-40B4-BE49-F238E27FC236}">
                  <a16:creationId xmlns:a16="http://schemas.microsoft.com/office/drawing/2014/main" id="{00000000-0008-0000-0200-00008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431</xdr:row>
          <xdr:rowOff>0</xdr:rowOff>
        </xdr:from>
        <xdr:to>
          <xdr:col>5</xdr:col>
          <xdr:colOff>0</xdr:colOff>
          <xdr:row>432</xdr:row>
          <xdr:rowOff>47625</xdr:rowOff>
        </xdr:to>
        <xdr:sp macro="" textlink="">
          <xdr:nvSpPr>
            <xdr:cNvPr id="108943" name="Check Box 3471" hidden="1">
              <a:extLst>
                <a:ext uri="{63B3BB69-23CF-44E3-9099-C40C66FF867C}">
                  <a14:compatExt spid="_x0000_s108943"/>
                </a:ext>
                <a:ext uri="{FF2B5EF4-FFF2-40B4-BE49-F238E27FC236}">
                  <a16:creationId xmlns:a16="http://schemas.microsoft.com/office/drawing/2014/main" id="{00000000-0008-0000-0200-00008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432</xdr:row>
          <xdr:rowOff>0</xdr:rowOff>
        </xdr:from>
        <xdr:to>
          <xdr:col>5</xdr:col>
          <xdr:colOff>0</xdr:colOff>
          <xdr:row>433</xdr:row>
          <xdr:rowOff>47625</xdr:rowOff>
        </xdr:to>
        <xdr:sp macro="" textlink="">
          <xdr:nvSpPr>
            <xdr:cNvPr id="108944" name="Check Box 3472" hidden="1">
              <a:extLst>
                <a:ext uri="{63B3BB69-23CF-44E3-9099-C40C66FF867C}">
                  <a14:compatExt spid="_x0000_s108944"/>
                </a:ext>
                <a:ext uri="{FF2B5EF4-FFF2-40B4-BE49-F238E27FC236}">
                  <a16:creationId xmlns:a16="http://schemas.microsoft.com/office/drawing/2014/main" id="{00000000-0008-0000-0200-00009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433</xdr:row>
          <xdr:rowOff>0</xdr:rowOff>
        </xdr:from>
        <xdr:to>
          <xdr:col>5</xdr:col>
          <xdr:colOff>0</xdr:colOff>
          <xdr:row>434</xdr:row>
          <xdr:rowOff>47625</xdr:rowOff>
        </xdr:to>
        <xdr:sp macro="" textlink="">
          <xdr:nvSpPr>
            <xdr:cNvPr id="108945" name="Check Box 3473" hidden="1">
              <a:extLst>
                <a:ext uri="{63B3BB69-23CF-44E3-9099-C40C66FF867C}">
                  <a14:compatExt spid="_x0000_s108945"/>
                </a:ext>
                <a:ext uri="{FF2B5EF4-FFF2-40B4-BE49-F238E27FC236}">
                  <a16:creationId xmlns:a16="http://schemas.microsoft.com/office/drawing/2014/main" id="{00000000-0008-0000-0200-00009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434</xdr:row>
          <xdr:rowOff>0</xdr:rowOff>
        </xdr:from>
        <xdr:to>
          <xdr:col>5</xdr:col>
          <xdr:colOff>0</xdr:colOff>
          <xdr:row>435</xdr:row>
          <xdr:rowOff>47625</xdr:rowOff>
        </xdr:to>
        <xdr:sp macro="" textlink="">
          <xdr:nvSpPr>
            <xdr:cNvPr id="108946" name="Check Box 3474" hidden="1">
              <a:extLst>
                <a:ext uri="{63B3BB69-23CF-44E3-9099-C40C66FF867C}">
                  <a14:compatExt spid="_x0000_s108946"/>
                </a:ext>
                <a:ext uri="{FF2B5EF4-FFF2-40B4-BE49-F238E27FC236}">
                  <a16:creationId xmlns:a16="http://schemas.microsoft.com/office/drawing/2014/main" id="{00000000-0008-0000-0200-00009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435</xdr:row>
          <xdr:rowOff>0</xdr:rowOff>
        </xdr:from>
        <xdr:to>
          <xdr:col>5</xdr:col>
          <xdr:colOff>0</xdr:colOff>
          <xdr:row>436</xdr:row>
          <xdr:rowOff>47625</xdr:rowOff>
        </xdr:to>
        <xdr:sp macro="" textlink="">
          <xdr:nvSpPr>
            <xdr:cNvPr id="108947" name="Check Box 3475" hidden="1">
              <a:extLst>
                <a:ext uri="{63B3BB69-23CF-44E3-9099-C40C66FF867C}">
                  <a14:compatExt spid="_x0000_s108947"/>
                </a:ext>
                <a:ext uri="{FF2B5EF4-FFF2-40B4-BE49-F238E27FC236}">
                  <a16:creationId xmlns:a16="http://schemas.microsoft.com/office/drawing/2014/main" id="{00000000-0008-0000-0200-00009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436</xdr:row>
          <xdr:rowOff>0</xdr:rowOff>
        </xdr:from>
        <xdr:to>
          <xdr:col>5</xdr:col>
          <xdr:colOff>0</xdr:colOff>
          <xdr:row>437</xdr:row>
          <xdr:rowOff>47625</xdr:rowOff>
        </xdr:to>
        <xdr:sp macro="" textlink="">
          <xdr:nvSpPr>
            <xdr:cNvPr id="108948" name="Check Box 3476" hidden="1">
              <a:extLst>
                <a:ext uri="{63B3BB69-23CF-44E3-9099-C40C66FF867C}">
                  <a14:compatExt spid="_x0000_s108948"/>
                </a:ext>
                <a:ext uri="{FF2B5EF4-FFF2-40B4-BE49-F238E27FC236}">
                  <a16:creationId xmlns:a16="http://schemas.microsoft.com/office/drawing/2014/main" id="{00000000-0008-0000-0200-00009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437</xdr:row>
          <xdr:rowOff>0</xdr:rowOff>
        </xdr:from>
        <xdr:to>
          <xdr:col>5</xdr:col>
          <xdr:colOff>0</xdr:colOff>
          <xdr:row>438</xdr:row>
          <xdr:rowOff>47625</xdr:rowOff>
        </xdr:to>
        <xdr:sp macro="" textlink="">
          <xdr:nvSpPr>
            <xdr:cNvPr id="108949" name="Check Box 3477" hidden="1">
              <a:extLst>
                <a:ext uri="{63B3BB69-23CF-44E3-9099-C40C66FF867C}">
                  <a14:compatExt spid="_x0000_s108949"/>
                </a:ext>
                <a:ext uri="{FF2B5EF4-FFF2-40B4-BE49-F238E27FC236}">
                  <a16:creationId xmlns:a16="http://schemas.microsoft.com/office/drawing/2014/main" id="{00000000-0008-0000-0200-00009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438</xdr:row>
          <xdr:rowOff>0</xdr:rowOff>
        </xdr:from>
        <xdr:to>
          <xdr:col>5</xdr:col>
          <xdr:colOff>0</xdr:colOff>
          <xdr:row>439</xdr:row>
          <xdr:rowOff>47625</xdr:rowOff>
        </xdr:to>
        <xdr:sp macro="" textlink="">
          <xdr:nvSpPr>
            <xdr:cNvPr id="108950" name="Check Box 3478" hidden="1">
              <a:extLst>
                <a:ext uri="{63B3BB69-23CF-44E3-9099-C40C66FF867C}">
                  <a14:compatExt spid="_x0000_s108950"/>
                </a:ext>
                <a:ext uri="{FF2B5EF4-FFF2-40B4-BE49-F238E27FC236}">
                  <a16:creationId xmlns:a16="http://schemas.microsoft.com/office/drawing/2014/main" id="{00000000-0008-0000-0200-00009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439</xdr:row>
          <xdr:rowOff>0</xdr:rowOff>
        </xdr:from>
        <xdr:to>
          <xdr:col>5</xdr:col>
          <xdr:colOff>0</xdr:colOff>
          <xdr:row>440</xdr:row>
          <xdr:rowOff>47625</xdr:rowOff>
        </xdr:to>
        <xdr:sp macro="" textlink="">
          <xdr:nvSpPr>
            <xdr:cNvPr id="108951" name="Check Box 3479" hidden="1">
              <a:extLst>
                <a:ext uri="{63B3BB69-23CF-44E3-9099-C40C66FF867C}">
                  <a14:compatExt spid="_x0000_s108951"/>
                </a:ext>
                <a:ext uri="{FF2B5EF4-FFF2-40B4-BE49-F238E27FC236}">
                  <a16:creationId xmlns:a16="http://schemas.microsoft.com/office/drawing/2014/main" id="{00000000-0008-0000-0200-00009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440</xdr:row>
          <xdr:rowOff>0</xdr:rowOff>
        </xdr:from>
        <xdr:to>
          <xdr:col>5</xdr:col>
          <xdr:colOff>0</xdr:colOff>
          <xdr:row>441</xdr:row>
          <xdr:rowOff>47625</xdr:rowOff>
        </xdr:to>
        <xdr:sp macro="" textlink="">
          <xdr:nvSpPr>
            <xdr:cNvPr id="108952" name="Check Box 3480" hidden="1">
              <a:extLst>
                <a:ext uri="{63B3BB69-23CF-44E3-9099-C40C66FF867C}">
                  <a14:compatExt spid="_x0000_s108952"/>
                </a:ext>
                <a:ext uri="{FF2B5EF4-FFF2-40B4-BE49-F238E27FC236}">
                  <a16:creationId xmlns:a16="http://schemas.microsoft.com/office/drawing/2014/main" id="{00000000-0008-0000-0200-00009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441</xdr:row>
          <xdr:rowOff>0</xdr:rowOff>
        </xdr:from>
        <xdr:to>
          <xdr:col>5</xdr:col>
          <xdr:colOff>0</xdr:colOff>
          <xdr:row>442</xdr:row>
          <xdr:rowOff>47625</xdr:rowOff>
        </xdr:to>
        <xdr:sp macro="" textlink="">
          <xdr:nvSpPr>
            <xdr:cNvPr id="108953" name="Check Box 3481" hidden="1">
              <a:extLst>
                <a:ext uri="{63B3BB69-23CF-44E3-9099-C40C66FF867C}">
                  <a14:compatExt spid="_x0000_s108953"/>
                </a:ext>
                <a:ext uri="{FF2B5EF4-FFF2-40B4-BE49-F238E27FC236}">
                  <a16:creationId xmlns:a16="http://schemas.microsoft.com/office/drawing/2014/main" id="{00000000-0008-0000-0200-00009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442</xdr:row>
          <xdr:rowOff>0</xdr:rowOff>
        </xdr:from>
        <xdr:to>
          <xdr:col>5</xdr:col>
          <xdr:colOff>0</xdr:colOff>
          <xdr:row>443</xdr:row>
          <xdr:rowOff>47625</xdr:rowOff>
        </xdr:to>
        <xdr:sp macro="" textlink="">
          <xdr:nvSpPr>
            <xdr:cNvPr id="108954" name="Check Box 3482" hidden="1">
              <a:extLst>
                <a:ext uri="{63B3BB69-23CF-44E3-9099-C40C66FF867C}">
                  <a14:compatExt spid="_x0000_s108954"/>
                </a:ext>
                <a:ext uri="{FF2B5EF4-FFF2-40B4-BE49-F238E27FC236}">
                  <a16:creationId xmlns:a16="http://schemas.microsoft.com/office/drawing/2014/main" id="{00000000-0008-0000-0200-00009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443</xdr:row>
          <xdr:rowOff>0</xdr:rowOff>
        </xdr:from>
        <xdr:to>
          <xdr:col>5</xdr:col>
          <xdr:colOff>0</xdr:colOff>
          <xdr:row>444</xdr:row>
          <xdr:rowOff>47625</xdr:rowOff>
        </xdr:to>
        <xdr:sp macro="" textlink="">
          <xdr:nvSpPr>
            <xdr:cNvPr id="108955" name="Check Box 3483" hidden="1">
              <a:extLst>
                <a:ext uri="{63B3BB69-23CF-44E3-9099-C40C66FF867C}">
                  <a14:compatExt spid="_x0000_s108955"/>
                </a:ext>
                <a:ext uri="{FF2B5EF4-FFF2-40B4-BE49-F238E27FC236}">
                  <a16:creationId xmlns:a16="http://schemas.microsoft.com/office/drawing/2014/main" id="{00000000-0008-0000-0200-00009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444</xdr:row>
          <xdr:rowOff>0</xdr:rowOff>
        </xdr:from>
        <xdr:to>
          <xdr:col>5</xdr:col>
          <xdr:colOff>0</xdr:colOff>
          <xdr:row>445</xdr:row>
          <xdr:rowOff>47625</xdr:rowOff>
        </xdr:to>
        <xdr:sp macro="" textlink="">
          <xdr:nvSpPr>
            <xdr:cNvPr id="108956" name="Check Box 3484" hidden="1">
              <a:extLst>
                <a:ext uri="{63B3BB69-23CF-44E3-9099-C40C66FF867C}">
                  <a14:compatExt spid="_x0000_s108956"/>
                </a:ext>
                <a:ext uri="{FF2B5EF4-FFF2-40B4-BE49-F238E27FC236}">
                  <a16:creationId xmlns:a16="http://schemas.microsoft.com/office/drawing/2014/main" id="{00000000-0008-0000-0200-00009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445</xdr:row>
          <xdr:rowOff>0</xdr:rowOff>
        </xdr:from>
        <xdr:to>
          <xdr:col>5</xdr:col>
          <xdr:colOff>0</xdr:colOff>
          <xdr:row>446</xdr:row>
          <xdr:rowOff>47625</xdr:rowOff>
        </xdr:to>
        <xdr:sp macro="" textlink="">
          <xdr:nvSpPr>
            <xdr:cNvPr id="108957" name="Check Box 3485" hidden="1">
              <a:extLst>
                <a:ext uri="{63B3BB69-23CF-44E3-9099-C40C66FF867C}">
                  <a14:compatExt spid="_x0000_s108957"/>
                </a:ext>
                <a:ext uri="{FF2B5EF4-FFF2-40B4-BE49-F238E27FC236}">
                  <a16:creationId xmlns:a16="http://schemas.microsoft.com/office/drawing/2014/main" id="{00000000-0008-0000-0200-00009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446</xdr:row>
          <xdr:rowOff>0</xdr:rowOff>
        </xdr:from>
        <xdr:to>
          <xdr:col>5</xdr:col>
          <xdr:colOff>0</xdr:colOff>
          <xdr:row>447</xdr:row>
          <xdr:rowOff>47625</xdr:rowOff>
        </xdr:to>
        <xdr:sp macro="" textlink="">
          <xdr:nvSpPr>
            <xdr:cNvPr id="108958" name="Check Box 3486" hidden="1">
              <a:extLst>
                <a:ext uri="{63B3BB69-23CF-44E3-9099-C40C66FF867C}">
                  <a14:compatExt spid="_x0000_s108958"/>
                </a:ext>
                <a:ext uri="{FF2B5EF4-FFF2-40B4-BE49-F238E27FC236}">
                  <a16:creationId xmlns:a16="http://schemas.microsoft.com/office/drawing/2014/main" id="{00000000-0008-0000-0200-00009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447</xdr:row>
          <xdr:rowOff>0</xdr:rowOff>
        </xdr:from>
        <xdr:to>
          <xdr:col>5</xdr:col>
          <xdr:colOff>0</xdr:colOff>
          <xdr:row>448</xdr:row>
          <xdr:rowOff>47625</xdr:rowOff>
        </xdr:to>
        <xdr:sp macro="" textlink="">
          <xdr:nvSpPr>
            <xdr:cNvPr id="108959" name="Check Box 3487" hidden="1">
              <a:extLst>
                <a:ext uri="{63B3BB69-23CF-44E3-9099-C40C66FF867C}">
                  <a14:compatExt spid="_x0000_s108959"/>
                </a:ext>
                <a:ext uri="{FF2B5EF4-FFF2-40B4-BE49-F238E27FC236}">
                  <a16:creationId xmlns:a16="http://schemas.microsoft.com/office/drawing/2014/main" id="{00000000-0008-0000-0200-00009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448</xdr:row>
          <xdr:rowOff>0</xdr:rowOff>
        </xdr:from>
        <xdr:to>
          <xdr:col>5</xdr:col>
          <xdr:colOff>0</xdr:colOff>
          <xdr:row>449</xdr:row>
          <xdr:rowOff>47625</xdr:rowOff>
        </xdr:to>
        <xdr:sp macro="" textlink="">
          <xdr:nvSpPr>
            <xdr:cNvPr id="108960" name="Check Box 3488" hidden="1">
              <a:extLst>
                <a:ext uri="{63B3BB69-23CF-44E3-9099-C40C66FF867C}">
                  <a14:compatExt spid="_x0000_s108960"/>
                </a:ext>
                <a:ext uri="{FF2B5EF4-FFF2-40B4-BE49-F238E27FC236}">
                  <a16:creationId xmlns:a16="http://schemas.microsoft.com/office/drawing/2014/main" id="{00000000-0008-0000-0200-0000A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449</xdr:row>
          <xdr:rowOff>0</xdr:rowOff>
        </xdr:from>
        <xdr:to>
          <xdr:col>5</xdr:col>
          <xdr:colOff>0</xdr:colOff>
          <xdr:row>450</xdr:row>
          <xdr:rowOff>47625</xdr:rowOff>
        </xdr:to>
        <xdr:sp macro="" textlink="">
          <xdr:nvSpPr>
            <xdr:cNvPr id="108961" name="Check Box 3489" hidden="1">
              <a:extLst>
                <a:ext uri="{63B3BB69-23CF-44E3-9099-C40C66FF867C}">
                  <a14:compatExt spid="_x0000_s108961"/>
                </a:ext>
                <a:ext uri="{FF2B5EF4-FFF2-40B4-BE49-F238E27FC236}">
                  <a16:creationId xmlns:a16="http://schemas.microsoft.com/office/drawing/2014/main" id="{00000000-0008-0000-0200-0000A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450</xdr:row>
          <xdr:rowOff>0</xdr:rowOff>
        </xdr:from>
        <xdr:to>
          <xdr:col>5</xdr:col>
          <xdr:colOff>0</xdr:colOff>
          <xdr:row>451</xdr:row>
          <xdr:rowOff>47625</xdr:rowOff>
        </xdr:to>
        <xdr:sp macro="" textlink="">
          <xdr:nvSpPr>
            <xdr:cNvPr id="108962" name="Check Box 3490" hidden="1">
              <a:extLst>
                <a:ext uri="{63B3BB69-23CF-44E3-9099-C40C66FF867C}">
                  <a14:compatExt spid="_x0000_s108962"/>
                </a:ext>
                <a:ext uri="{FF2B5EF4-FFF2-40B4-BE49-F238E27FC236}">
                  <a16:creationId xmlns:a16="http://schemas.microsoft.com/office/drawing/2014/main" id="{00000000-0008-0000-0200-0000A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451</xdr:row>
          <xdr:rowOff>0</xdr:rowOff>
        </xdr:from>
        <xdr:to>
          <xdr:col>5</xdr:col>
          <xdr:colOff>0</xdr:colOff>
          <xdr:row>452</xdr:row>
          <xdr:rowOff>47625</xdr:rowOff>
        </xdr:to>
        <xdr:sp macro="" textlink="">
          <xdr:nvSpPr>
            <xdr:cNvPr id="108963" name="Check Box 3491" hidden="1">
              <a:extLst>
                <a:ext uri="{63B3BB69-23CF-44E3-9099-C40C66FF867C}">
                  <a14:compatExt spid="_x0000_s108963"/>
                </a:ext>
                <a:ext uri="{FF2B5EF4-FFF2-40B4-BE49-F238E27FC236}">
                  <a16:creationId xmlns:a16="http://schemas.microsoft.com/office/drawing/2014/main" id="{00000000-0008-0000-0200-0000A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452</xdr:row>
          <xdr:rowOff>0</xdr:rowOff>
        </xdr:from>
        <xdr:to>
          <xdr:col>5</xdr:col>
          <xdr:colOff>0</xdr:colOff>
          <xdr:row>453</xdr:row>
          <xdr:rowOff>47625</xdr:rowOff>
        </xdr:to>
        <xdr:sp macro="" textlink="">
          <xdr:nvSpPr>
            <xdr:cNvPr id="108964" name="Check Box 3492" hidden="1">
              <a:extLst>
                <a:ext uri="{63B3BB69-23CF-44E3-9099-C40C66FF867C}">
                  <a14:compatExt spid="_x0000_s108964"/>
                </a:ext>
                <a:ext uri="{FF2B5EF4-FFF2-40B4-BE49-F238E27FC236}">
                  <a16:creationId xmlns:a16="http://schemas.microsoft.com/office/drawing/2014/main" id="{00000000-0008-0000-0200-0000A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453</xdr:row>
          <xdr:rowOff>0</xdr:rowOff>
        </xdr:from>
        <xdr:to>
          <xdr:col>5</xdr:col>
          <xdr:colOff>0</xdr:colOff>
          <xdr:row>454</xdr:row>
          <xdr:rowOff>47625</xdr:rowOff>
        </xdr:to>
        <xdr:sp macro="" textlink="">
          <xdr:nvSpPr>
            <xdr:cNvPr id="108965" name="Check Box 3493" hidden="1">
              <a:extLst>
                <a:ext uri="{63B3BB69-23CF-44E3-9099-C40C66FF867C}">
                  <a14:compatExt spid="_x0000_s108965"/>
                </a:ext>
                <a:ext uri="{FF2B5EF4-FFF2-40B4-BE49-F238E27FC236}">
                  <a16:creationId xmlns:a16="http://schemas.microsoft.com/office/drawing/2014/main" id="{00000000-0008-0000-0200-0000A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454</xdr:row>
          <xdr:rowOff>0</xdr:rowOff>
        </xdr:from>
        <xdr:to>
          <xdr:col>5</xdr:col>
          <xdr:colOff>0</xdr:colOff>
          <xdr:row>455</xdr:row>
          <xdr:rowOff>47625</xdr:rowOff>
        </xdr:to>
        <xdr:sp macro="" textlink="">
          <xdr:nvSpPr>
            <xdr:cNvPr id="108966" name="Check Box 3494" hidden="1">
              <a:extLst>
                <a:ext uri="{63B3BB69-23CF-44E3-9099-C40C66FF867C}">
                  <a14:compatExt spid="_x0000_s108966"/>
                </a:ext>
                <a:ext uri="{FF2B5EF4-FFF2-40B4-BE49-F238E27FC236}">
                  <a16:creationId xmlns:a16="http://schemas.microsoft.com/office/drawing/2014/main" id="{00000000-0008-0000-0200-0000A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455</xdr:row>
          <xdr:rowOff>0</xdr:rowOff>
        </xdr:from>
        <xdr:to>
          <xdr:col>5</xdr:col>
          <xdr:colOff>0</xdr:colOff>
          <xdr:row>456</xdr:row>
          <xdr:rowOff>47625</xdr:rowOff>
        </xdr:to>
        <xdr:sp macro="" textlink="">
          <xdr:nvSpPr>
            <xdr:cNvPr id="108967" name="Check Box 3495" hidden="1">
              <a:extLst>
                <a:ext uri="{63B3BB69-23CF-44E3-9099-C40C66FF867C}">
                  <a14:compatExt spid="_x0000_s108967"/>
                </a:ext>
                <a:ext uri="{FF2B5EF4-FFF2-40B4-BE49-F238E27FC236}">
                  <a16:creationId xmlns:a16="http://schemas.microsoft.com/office/drawing/2014/main" id="{00000000-0008-0000-0200-0000A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456</xdr:row>
          <xdr:rowOff>0</xdr:rowOff>
        </xdr:from>
        <xdr:to>
          <xdr:col>5</xdr:col>
          <xdr:colOff>0</xdr:colOff>
          <xdr:row>457</xdr:row>
          <xdr:rowOff>47625</xdr:rowOff>
        </xdr:to>
        <xdr:sp macro="" textlink="">
          <xdr:nvSpPr>
            <xdr:cNvPr id="108968" name="Check Box 3496" hidden="1">
              <a:extLst>
                <a:ext uri="{63B3BB69-23CF-44E3-9099-C40C66FF867C}">
                  <a14:compatExt spid="_x0000_s108968"/>
                </a:ext>
                <a:ext uri="{FF2B5EF4-FFF2-40B4-BE49-F238E27FC236}">
                  <a16:creationId xmlns:a16="http://schemas.microsoft.com/office/drawing/2014/main" id="{00000000-0008-0000-0200-0000A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457</xdr:row>
          <xdr:rowOff>0</xdr:rowOff>
        </xdr:from>
        <xdr:to>
          <xdr:col>5</xdr:col>
          <xdr:colOff>0</xdr:colOff>
          <xdr:row>458</xdr:row>
          <xdr:rowOff>47625</xdr:rowOff>
        </xdr:to>
        <xdr:sp macro="" textlink="">
          <xdr:nvSpPr>
            <xdr:cNvPr id="108969" name="Check Box 3497" hidden="1">
              <a:extLst>
                <a:ext uri="{63B3BB69-23CF-44E3-9099-C40C66FF867C}">
                  <a14:compatExt spid="_x0000_s108969"/>
                </a:ext>
                <a:ext uri="{FF2B5EF4-FFF2-40B4-BE49-F238E27FC236}">
                  <a16:creationId xmlns:a16="http://schemas.microsoft.com/office/drawing/2014/main" id="{00000000-0008-0000-0200-0000A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458</xdr:row>
          <xdr:rowOff>0</xdr:rowOff>
        </xdr:from>
        <xdr:to>
          <xdr:col>5</xdr:col>
          <xdr:colOff>0</xdr:colOff>
          <xdr:row>459</xdr:row>
          <xdr:rowOff>47625</xdr:rowOff>
        </xdr:to>
        <xdr:sp macro="" textlink="">
          <xdr:nvSpPr>
            <xdr:cNvPr id="108970" name="Check Box 3498" hidden="1">
              <a:extLst>
                <a:ext uri="{63B3BB69-23CF-44E3-9099-C40C66FF867C}">
                  <a14:compatExt spid="_x0000_s108970"/>
                </a:ext>
                <a:ext uri="{FF2B5EF4-FFF2-40B4-BE49-F238E27FC236}">
                  <a16:creationId xmlns:a16="http://schemas.microsoft.com/office/drawing/2014/main" id="{00000000-0008-0000-0200-0000A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459</xdr:row>
          <xdr:rowOff>0</xdr:rowOff>
        </xdr:from>
        <xdr:to>
          <xdr:col>5</xdr:col>
          <xdr:colOff>0</xdr:colOff>
          <xdr:row>460</xdr:row>
          <xdr:rowOff>47625</xdr:rowOff>
        </xdr:to>
        <xdr:sp macro="" textlink="">
          <xdr:nvSpPr>
            <xdr:cNvPr id="108971" name="Check Box 3499" hidden="1">
              <a:extLst>
                <a:ext uri="{63B3BB69-23CF-44E3-9099-C40C66FF867C}">
                  <a14:compatExt spid="_x0000_s108971"/>
                </a:ext>
                <a:ext uri="{FF2B5EF4-FFF2-40B4-BE49-F238E27FC236}">
                  <a16:creationId xmlns:a16="http://schemas.microsoft.com/office/drawing/2014/main" id="{00000000-0008-0000-0200-0000A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460</xdr:row>
          <xdr:rowOff>0</xdr:rowOff>
        </xdr:from>
        <xdr:to>
          <xdr:col>5</xdr:col>
          <xdr:colOff>0</xdr:colOff>
          <xdr:row>461</xdr:row>
          <xdr:rowOff>47625</xdr:rowOff>
        </xdr:to>
        <xdr:sp macro="" textlink="">
          <xdr:nvSpPr>
            <xdr:cNvPr id="108972" name="Check Box 3500" hidden="1">
              <a:extLst>
                <a:ext uri="{63B3BB69-23CF-44E3-9099-C40C66FF867C}">
                  <a14:compatExt spid="_x0000_s108972"/>
                </a:ext>
                <a:ext uri="{FF2B5EF4-FFF2-40B4-BE49-F238E27FC236}">
                  <a16:creationId xmlns:a16="http://schemas.microsoft.com/office/drawing/2014/main" id="{00000000-0008-0000-0200-0000A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461</xdr:row>
          <xdr:rowOff>0</xdr:rowOff>
        </xdr:from>
        <xdr:to>
          <xdr:col>5</xdr:col>
          <xdr:colOff>0</xdr:colOff>
          <xdr:row>462</xdr:row>
          <xdr:rowOff>47625</xdr:rowOff>
        </xdr:to>
        <xdr:sp macro="" textlink="">
          <xdr:nvSpPr>
            <xdr:cNvPr id="108973" name="Check Box 3501" hidden="1">
              <a:extLst>
                <a:ext uri="{63B3BB69-23CF-44E3-9099-C40C66FF867C}">
                  <a14:compatExt spid="_x0000_s108973"/>
                </a:ext>
                <a:ext uri="{FF2B5EF4-FFF2-40B4-BE49-F238E27FC236}">
                  <a16:creationId xmlns:a16="http://schemas.microsoft.com/office/drawing/2014/main" id="{00000000-0008-0000-0200-0000A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462</xdr:row>
          <xdr:rowOff>0</xdr:rowOff>
        </xdr:from>
        <xdr:to>
          <xdr:col>5</xdr:col>
          <xdr:colOff>0</xdr:colOff>
          <xdr:row>463</xdr:row>
          <xdr:rowOff>47625</xdr:rowOff>
        </xdr:to>
        <xdr:sp macro="" textlink="">
          <xdr:nvSpPr>
            <xdr:cNvPr id="108974" name="Check Box 3502" hidden="1">
              <a:extLst>
                <a:ext uri="{63B3BB69-23CF-44E3-9099-C40C66FF867C}">
                  <a14:compatExt spid="_x0000_s108974"/>
                </a:ext>
                <a:ext uri="{FF2B5EF4-FFF2-40B4-BE49-F238E27FC236}">
                  <a16:creationId xmlns:a16="http://schemas.microsoft.com/office/drawing/2014/main" id="{00000000-0008-0000-0200-0000A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463</xdr:row>
          <xdr:rowOff>0</xdr:rowOff>
        </xdr:from>
        <xdr:to>
          <xdr:col>5</xdr:col>
          <xdr:colOff>0</xdr:colOff>
          <xdr:row>464</xdr:row>
          <xdr:rowOff>47625</xdr:rowOff>
        </xdr:to>
        <xdr:sp macro="" textlink="">
          <xdr:nvSpPr>
            <xdr:cNvPr id="108975" name="Check Box 3503" hidden="1">
              <a:extLst>
                <a:ext uri="{63B3BB69-23CF-44E3-9099-C40C66FF867C}">
                  <a14:compatExt spid="_x0000_s108975"/>
                </a:ext>
                <a:ext uri="{FF2B5EF4-FFF2-40B4-BE49-F238E27FC236}">
                  <a16:creationId xmlns:a16="http://schemas.microsoft.com/office/drawing/2014/main" id="{00000000-0008-0000-0200-0000A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464</xdr:row>
          <xdr:rowOff>0</xdr:rowOff>
        </xdr:from>
        <xdr:to>
          <xdr:col>5</xdr:col>
          <xdr:colOff>0</xdr:colOff>
          <xdr:row>465</xdr:row>
          <xdr:rowOff>47625</xdr:rowOff>
        </xdr:to>
        <xdr:sp macro="" textlink="">
          <xdr:nvSpPr>
            <xdr:cNvPr id="108976" name="Check Box 3504" hidden="1">
              <a:extLst>
                <a:ext uri="{63B3BB69-23CF-44E3-9099-C40C66FF867C}">
                  <a14:compatExt spid="_x0000_s108976"/>
                </a:ext>
                <a:ext uri="{FF2B5EF4-FFF2-40B4-BE49-F238E27FC236}">
                  <a16:creationId xmlns:a16="http://schemas.microsoft.com/office/drawing/2014/main" id="{00000000-0008-0000-0200-0000B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465</xdr:row>
          <xdr:rowOff>0</xdr:rowOff>
        </xdr:from>
        <xdr:to>
          <xdr:col>5</xdr:col>
          <xdr:colOff>0</xdr:colOff>
          <xdr:row>466</xdr:row>
          <xdr:rowOff>47625</xdr:rowOff>
        </xdr:to>
        <xdr:sp macro="" textlink="">
          <xdr:nvSpPr>
            <xdr:cNvPr id="108977" name="Check Box 3505" hidden="1">
              <a:extLst>
                <a:ext uri="{63B3BB69-23CF-44E3-9099-C40C66FF867C}">
                  <a14:compatExt spid="_x0000_s108977"/>
                </a:ext>
                <a:ext uri="{FF2B5EF4-FFF2-40B4-BE49-F238E27FC236}">
                  <a16:creationId xmlns:a16="http://schemas.microsoft.com/office/drawing/2014/main" id="{00000000-0008-0000-0200-0000B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466</xdr:row>
          <xdr:rowOff>0</xdr:rowOff>
        </xdr:from>
        <xdr:to>
          <xdr:col>5</xdr:col>
          <xdr:colOff>0</xdr:colOff>
          <xdr:row>467</xdr:row>
          <xdr:rowOff>47625</xdr:rowOff>
        </xdr:to>
        <xdr:sp macro="" textlink="">
          <xdr:nvSpPr>
            <xdr:cNvPr id="108978" name="Check Box 3506" hidden="1">
              <a:extLst>
                <a:ext uri="{63B3BB69-23CF-44E3-9099-C40C66FF867C}">
                  <a14:compatExt spid="_x0000_s108978"/>
                </a:ext>
                <a:ext uri="{FF2B5EF4-FFF2-40B4-BE49-F238E27FC236}">
                  <a16:creationId xmlns:a16="http://schemas.microsoft.com/office/drawing/2014/main" id="{00000000-0008-0000-0200-0000B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467</xdr:row>
          <xdr:rowOff>0</xdr:rowOff>
        </xdr:from>
        <xdr:to>
          <xdr:col>5</xdr:col>
          <xdr:colOff>0</xdr:colOff>
          <xdr:row>468</xdr:row>
          <xdr:rowOff>47625</xdr:rowOff>
        </xdr:to>
        <xdr:sp macro="" textlink="">
          <xdr:nvSpPr>
            <xdr:cNvPr id="108979" name="Check Box 3507" hidden="1">
              <a:extLst>
                <a:ext uri="{63B3BB69-23CF-44E3-9099-C40C66FF867C}">
                  <a14:compatExt spid="_x0000_s108979"/>
                </a:ext>
                <a:ext uri="{FF2B5EF4-FFF2-40B4-BE49-F238E27FC236}">
                  <a16:creationId xmlns:a16="http://schemas.microsoft.com/office/drawing/2014/main" id="{00000000-0008-0000-0200-0000B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468</xdr:row>
          <xdr:rowOff>0</xdr:rowOff>
        </xdr:from>
        <xdr:to>
          <xdr:col>5</xdr:col>
          <xdr:colOff>0</xdr:colOff>
          <xdr:row>469</xdr:row>
          <xdr:rowOff>47625</xdr:rowOff>
        </xdr:to>
        <xdr:sp macro="" textlink="">
          <xdr:nvSpPr>
            <xdr:cNvPr id="108980" name="Check Box 3508" hidden="1">
              <a:extLst>
                <a:ext uri="{63B3BB69-23CF-44E3-9099-C40C66FF867C}">
                  <a14:compatExt spid="_x0000_s108980"/>
                </a:ext>
                <a:ext uri="{FF2B5EF4-FFF2-40B4-BE49-F238E27FC236}">
                  <a16:creationId xmlns:a16="http://schemas.microsoft.com/office/drawing/2014/main" id="{00000000-0008-0000-0200-0000B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469</xdr:row>
          <xdr:rowOff>0</xdr:rowOff>
        </xdr:from>
        <xdr:to>
          <xdr:col>5</xdr:col>
          <xdr:colOff>0</xdr:colOff>
          <xdr:row>470</xdr:row>
          <xdr:rowOff>47625</xdr:rowOff>
        </xdr:to>
        <xdr:sp macro="" textlink="">
          <xdr:nvSpPr>
            <xdr:cNvPr id="108981" name="Check Box 3509" hidden="1">
              <a:extLst>
                <a:ext uri="{63B3BB69-23CF-44E3-9099-C40C66FF867C}">
                  <a14:compatExt spid="_x0000_s108981"/>
                </a:ext>
                <a:ext uri="{FF2B5EF4-FFF2-40B4-BE49-F238E27FC236}">
                  <a16:creationId xmlns:a16="http://schemas.microsoft.com/office/drawing/2014/main" id="{00000000-0008-0000-0200-0000B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470</xdr:row>
          <xdr:rowOff>0</xdr:rowOff>
        </xdr:from>
        <xdr:to>
          <xdr:col>5</xdr:col>
          <xdr:colOff>0</xdr:colOff>
          <xdr:row>471</xdr:row>
          <xdr:rowOff>47625</xdr:rowOff>
        </xdr:to>
        <xdr:sp macro="" textlink="">
          <xdr:nvSpPr>
            <xdr:cNvPr id="108982" name="Check Box 3510" hidden="1">
              <a:extLst>
                <a:ext uri="{63B3BB69-23CF-44E3-9099-C40C66FF867C}">
                  <a14:compatExt spid="_x0000_s108982"/>
                </a:ext>
                <a:ext uri="{FF2B5EF4-FFF2-40B4-BE49-F238E27FC236}">
                  <a16:creationId xmlns:a16="http://schemas.microsoft.com/office/drawing/2014/main" id="{00000000-0008-0000-0200-0000B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471</xdr:row>
          <xdr:rowOff>0</xdr:rowOff>
        </xdr:from>
        <xdr:to>
          <xdr:col>5</xdr:col>
          <xdr:colOff>0</xdr:colOff>
          <xdr:row>472</xdr:row>
          <xdr:rowOff>47625</xdr:rowOff>
        </xdr:to>
        <xdr:sp macro="" textlink="">
          <xdr:nvSpPr>
            <xdr:cNvPr id="108983" name="Check Box 3511" hidden="1">
              <a:extLst>
                <a:ext uri="{63B3BB69-23CF-44E3-9099-C40C66FF867C}">
                  <a14:compatExt spid="_x0000_s108983"/>
                </a:ext>
                <a:ext uri="{FF2B5EF4-FFF2-40B4-BE49-F238E27FC236}">
                  <a16:creationId xmlns:a16="http://schemas.microsoft.com/office/drawing/2014/main" id="{00000000-0008-0000-0200-0000B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472</xdr:row>
          <xdr:rowOff>0</xdr:rowOff>
        </xdr:from>
        <xdr:to>
          <xdr:col>5</xdr:col>
          <xdr:colOff>0</xdr:colOff>
          <xdr:row>473</xdr:row>
          <xdr:rowOff>47625</xdr:rowOff>
        </xdr:to>
        <xdr:sp macro="" textlink="">
          <xdr:nvSpPr>
            <xdr:cNvPr id="108984" name="Check Box 3512" hidden="1">
              <a:extLst>
                <a:ext uri="{63B3BB69-23CF-44E3-9099-C40C66FF867C}">
                  <a14:compatExt spid="_x0000_s108984"/>
                </a:ext>
                <a:ext uri="{FF2B5EF4-FFF2-40B4-BE49-F238E27FC236}">
                  <a16:creationId xmlns:a16="http://schemas.microsoft.com/office/drawing/2014/main" id="{00000000-0008-0000-0200-0000B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473</xdr:row>
          <xdr:rowOff>0</xdr:rowOff>
        </xdr:from>
        <xdr:to>
          <xdr:col>5</xdr:col>
          <xdr:colOff>0</xdr:colOff>
          <xdr:row>474</xdr:row>
          <xdr:rowOff>47625</xdr:rowOff>
        </xdr:to>
        <xdr:sp macro="" textlink="">
          <xdr:nvSpPr>
            <xdr:cNvPr id="108985" name="Check Box 3513" hidden="1">
              <a:extLst>
                <a:ext uri="{63B3BB69-23CF-44E3-9099-C40C66FF867C}">
                  <a14:compatExt spid="_x0000_s108985"/>
                </a:ext>
                <a:ext uri="{FF2B5EF4-FFF2-40B4-BE49-F238E27FC236}">
                  <a16:creationId xmlns:a16="http://schemas.microsoft.com/office/drawing/2014/main" id="{00000000-0008-0000-0200-0000B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474</xdr:row>
          <xdr:rowOff>0</xdr:rowOff>
        </xdr:from>
        <xdr:to>
          <xdr:col>5</xdr:col>
          <xdr:colOff>0</xdr:colOff>
          <xdr:row>475</xdr:row>
          <xdr:rowOff>47625</xdr:rowOff>
        </xdr:to>
        <xdr:sp macro="" textlink="">
          <xdr:nvSpPr>
            <xdr:cNvPr id="108986" name="Check Box 3514" hidden="1">
              <a:extLst>
                <a:ext uri="{63B3BB69-23CF-44E3-9099-C40C66FF867C}">
                  <a14:compatExt spid="_x0000_s108986"/>
                </a:ext>
                <a:ext uri="{FF2B5EF4-FFF2-40B4-BE49-F238E27FC236}">
                  <a16:creationId xmlns:a16="http://schemas.microsoft.com/office/drawing/2014/main" id="{00000000-0008-0000-0200-0000B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475</xdr:row>
          <xdr:rowOff>0</xdr:rowOff>
        </xdr:from>
        <xdr:to>
          <xdr:col>5</xdr:col>
          <xdr:colOff>0</xdr:colOff>
          <xdr:row>476</xdr:row>
          <xdr:rowOff>47625</xdr:rowOff>
        </xdr:to>
        <xdr:sp macro="" textlink="">
          <xdr:nvSpPr>
            <xdr:cNvPr id="108987" name="Check Box 3515" hidden="1">
              <a:extLst>
                <a:ext uri="{63B3BB69-23CF-44E3-9099-C40C66FF867C}">
                  <a14:compatExt spid="_x0000_s108987"/>
                </a:ext>
                <a:ext uri="{FF2B5EF4-FFF2-40B4-BE49-F238E27FC236}">
                  <a16:creationId xmlns:a16="http://schemas.microsoft.com/office/drawing/2014/main" id="{00000000-0008-0000-0200-0000B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476</xdr:row>
          <xdr:rowOff>0</xdr:rowOff>
        </xdr:from>
        <xdr:to>
          <xdr:col>5</xdr:col>
          <xdr:colOff>0</xdr:colOff>
          <xdr:row>477</xdr:row>
          <xdr:rowOff>47625</xdr:rowOff>
        </xdr:to>
        <xdr:sp macro="" textlink="">
          <xdr:nvSpPr>
            <xdr:cNvPr id="108988" name="Check Box 3516" hidden="1">
              <a:extLst>
                <a:ext uri="{63B3BB69-23CF-44E3-9099-C40C66FF867C}">
                  <a14:compatExt spid="_x0000_s108988"/>
                </a:ext>
                <a:ext uri="{FF2B5EF4-FFF2-40B4-BE49-F238E27FC236}">
                  <a16:creationId xmlns:a16="http://schemas.microsoft.com/office/drawing/2014/main" id="{00000000-0008-0000-0200-0000B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477</xdr:row>
          <xdr:rowOff>0</xdr:rowOff>
        </xdr:from>
        <xdr:to>
          <xdr:col>5</xdr:col>
          <xdr:colOff>0</xdr:colOff>
          <xdr:row>478</xdr:row>
          <xdr:rowOff>47625</xdr:rowOff>
        </xdr:to>
        <xdr:sp macro="" textlink="">
          <xdr:nvSpPr>
            <xdr:cNvPr id="108989" name="Check Box 3517" hidden="1">
              <a:extLst>
                <a:ext uri="{63B3BB69-23CF-44E3-9099-C40C66FF867C}">
                  <a14:compatExt spid="_x0000_s108989"/>
                </a:ext>
                <a:ext uri="{FF2B5EF4-FFF2-40B4-BE49-F238E27FC236}">
                  <a16:creationId xmlns:a16="http://schemas.microsoft.com/office/drawing/2014/main" id="{00000000-0008-0000-0200-0000B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478</xdr:row>
          <xdr:rowOff>0</xdr:rowOff>
        </xdr:from>
        <xdr:to>
          <xdr:col>5</xdr:col>
          <xdr:colOff>0</xdr:colOff>
          <xdr:row>479</xdr:row>
          <xdr:rowOff>47625</xdr:rowOff>
        </xdr:to>
        <xdr:sp macro="" textlink="">
          <xdr:nvSpPr>
            <xdr:cNvPr id="108990" name="Check Box 3518" hidden="1">
              <a:extLst>
                <a:ext uri="{63B3BB69-23CF-44E3-9099-C40C66FF867C}">
                  <a14:compatExt spid="_x0000_s108990"/>
                </a:ext>
                <a:ext uri="{FF2B5EF4-FFF2-40B4-BE49-F238E27FC236}">
                  <a16:creationId xmlns:a16="http://schemas.microsoft.com/office/drawing/2014/main" id="{00000000-0008-0000-0200-0000B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479</xdr:row>
          <xdr:rowOff>0</xdr:rowOff>
        </xdr:from>
        <xdr:to>
          <xdr:col>5</xdr:col>
          <xdr:colOff>0</xdr:colOff>
          <xdr:row>480</xdr:row>
          <xdr:rowOff>47625</xdr:rowOff>
        </xdr:to>
        <xdr:sp macro="" textlink="">
          <xdr:nvSpPr>
            <xdr:cNvPr id="108991" name="Check Box 3519" hidden="1">
              <a:extLst>
                <a:ext uri="{63B3BB69-23CF-44E3-9099-C40C66FF867C}">
                  <a14:compatExt spid="_x0000_s108991"/>
                </a:ext>
                <a:ext uri="{FF2B5EF4-FFF2-40B4-BE49-F238E27FC236}">
                  <a16:creationId xmlns:a16="http://schemas.microsoft.com/office/drawing/2014/main" id="{00000000-0008-0000-0200-0000B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480</xdr:row>
          <xdr:rowOff>0</xdr:rowOff>
        </xdr:from>
        <xdr:to>
          <xdr:col>5</xdr:col>
          <xdr:colOff>0</xdr:colOff>
          <xdr:row>481</xdr:row>
          <xdr:rowOff>47625</xdr:rowOff>
        </xdr:to>
        <xdr:sp macro="" textlink="">
          <xdr:nvSpPr>
            <xdr:cNvPr id="108992" name="Check Box 3520" hidden="1">
              <a:extLst>
                <a:ext uri="{63B3BB69-23CF-44E3-9099-C40C66FF867C}">
                  <a14:compatExt spid="_x0000_s108992"/>
                </a:ext>
                <a:ext uri="{FF2B5EF4-FFF2-40B4-BE49-F238E27FC236}">
                  <a16:creationId xmlns:a16="http://schemas.microsoft.com/office/drawing/2014/main" id="{00000000-0008-0000-0200-0000C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481</xdr:row>
          <xdr:rowOff>0</xdr:rowOff>
        </xdr:from>
        <xdr:to>
          <xdr:col>5</xdr:col>
          <xdr:colOff>0</xdr:colOff>
          <xdr:row>482</xdr:row>
          <xdr:rowOff>47625</xdr:rowOff>
        </xdr:to>
        <xdr:sp macro="" textlink="">
          <xdr:nvSpPr>
            <xdr:cNvPr id="108993" name="Check Box 3521" hidden="1">
              <a:extLst>
                <a:ext uri="{63B3BB69-23CF-44E3-9099-C40C66FF867C}">
                  <a14:compatExt spid="_x0000_s108993"/>
                </a:ext>
                <a:ext uri="{FF2B5EF4-FFF2-40B4-BE49-F238E27FC236}">
                  <a16:creationId xmlns:a16="http://schemas.microsoft.com/office/drawing/2014/main" id="{00000000-0008-0000-0200-0000C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482</xdr:row>
          <xdr:rowOff>0</xdr:rowOff>
        </xdr:from>
        <xdr:to>
          <xdr:col>5</xdr:col>
          <xdr:colOff>0</xdr:colOff>
          <xdr:row>483</xdr:row>
          <xdr:rowOff>47625</xdr:rowOff>
        </xdr:to>
        <xdr:sp macro="" textlink="">
          <xdr:nvSpPr>
            <xdr:cNvPr id="108994" name="Check Box 3522" hidden="1">
              <a:extLst>
                <a:ext uri="{63B3BB69-23CF-44E3-9099-C40C66FF867C}">
                  <a14:compatExt spid="_x0000_s108994"/>
                </a:ext>
                <a:ext uri="{FF2B5EF4-FFF2-40B4-BE49-F238E27FC236}">
                  <a16:creationId xmlns:a16="http://schemas.microsoft.com/office/drawing/2014/main" id="{00000000-0008-0000-0200-0000C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483</xdr:row>
          <xdr:rowOff>0</xdr:rowOff>
        </xdr:from>
        <xdr:to>
          <xdr:col>5</xdr:col>
          <xdr:colOff>0</xdr:colOff>
          <xdr:row>484</xdr:row>
          <xdr:rowOff>47625</xdr:rowOff>
        </xdr:to>
        <xdr:sp macro="" textlink="">
          <xdr:nvSpPr>
            <xdr:cNvPr id="108995" name="Check Box 3523" hidden="1">
              <a:extLst>
                <a:ext uri="{63B3BB69-23CF-44E3-9099-C40C66FF867C}">
                  <a14:compatExt spid="_x0000_s108995"/>
                </a:ext>
                <a:ext uri="{FF2B5EF4-FFF2-40B4-BE49-F238E27FC236}">
                  <a16:creationId xmlns:a16="http://schemas.microsoft.com/office/drawing/2014/main" id="{00000000-0008-0000-0200-0000C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484</xdr:row>
          <xdr:rowOff>0</xdr:rowOff>
        </xdr:from>
        <xdr:to>
          <xdr:col>5</xdr:col>
          <xdr:colOff>0</xdr:colOff>
          <xdr:row>485</xdr:row>
          <xdr:rowOff>47625</xdr:rowOff>
        </xdr:to>
        <xdr:sp macro="" textlink="">
          <xdr:nvSpPr>
            <xdr:cNvPr id="108996" name="Check Box 3524" hidden="1">
              <a:extLst>
                <a:ext uri="{63B3BB69-23CF-44E3-9099-C40C66FF867C}">
                  <a14:compatExt spid="_x0000_s108996"/>
                </a:ext>
                <a:ext uri="{FF2B5EF4-FFF2-40B4-BE49-F238E27FC236}">
                  <a16:creationId xmlns:a16="http://schemas.microsoft.com/office/drawing/2014/main" id="{00000000-0008-0000-0200-0000C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485</xdr:row>
          <xdr:rowOff>0</xdr:rowOff>
        </xdr:from>
        <xdr:to>
          <xdr:col>5</xdr:col>
          <xdr:colOff>0</xdr:colOff>
          <xdr:row>536</xdr:row>
          <xdr:rowOff>47625</xdr:rowOff>
        </xdr:to>
        <xdr:sp macro="" textlink="">
          <xdr:nvSpPr>
            <xdr:cNvPr id="108997" name="Check Box 3525" hidden="1">
              <a:extLst>
                <a:ext uri="{63B3BB69-23CF-44E3-9099-C40C66FF867C}">
                  <a14:compatExt spid="_x0000_s108997"/>
                </a:ext>
                <a:ext uri="{FF2B5EF4-FFF2-40B4-BE49-F238E27FC236}">
                  <a16:creationId xmlns:a16="http://schemas.microsoft.com/office/drawing/2014/main" id="{00000000-0008-0000-0200-0000C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8998" name="Check Box 3526" hidden="1">
              <a:extLst>
                <a:ext uri="{63B3BB69-23CF-44E3-9099-C40C66FF867C}">
                  <a14:compatExt spid="_x0000_s108998"/>
                </a:ext>
                <a:ext uri="{FF2B5EF4-FFF2-40B4-BE49-F238E27FC236}">
                  <a16:creationId xmlns:a16="http://schemas.microsoft.com/office/drawing/2014/main" id="{00000000-0008-0000-0200-0000C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8999" name="Check Box 3527" hidden="1">
              <a:extLst>
                <a:ext uri="{63B3BB69-23CF-44E3-9099-C40C66FF867C}">
                  <a14:compatExt spid="_x0000_s108999"/>
                </a:ext>
                <a:ext uri="{FF2B5EF4-FFF2-40B4-BE49-F238E27FC236}">
                  <a16:creationId xmlns:a16="http://schemas.microsoft.com/office/drawing/2014/main" id="{00000000-0008-0000-0200-0000C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00" name="Check Box 3528" hidden="1">
              <a:extLst>
                <a:ext uri="{63B3BB69-23CF-44E3-9099-C40C66FF867C}">
                  <a14:compatExt spid="_x0000_s109000"/>
                </a:ext>
                <a:ext uri="{FF2B5EF4-FFF2-40B4-BE49-F238E27FC236}">
                  <a16:creationId xmlns:a16="http://schemas.microsoft.com/office/drawing/2014/main" id="{00000000-0008-0000-0200-0000C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01" name="Check Box 3529" hidden="1">
              <a:extLst>
                <a:ext uri="{63B3BB69-23CF-44E3-9099-C40C66FF867C}">
                  <a14:compatExt spid="_x0000_s109001"/>
                </a:ext>
                <a:ext uri="{FF2B5EF4-FFF2-40B4-BE49-F238E27FC236}">
                  <a16:creationId xmlns:a16="http://schemas.microsoft.com/office/drawing/2014/main" id="{00000000-0008-0000-0200-0000C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02" name="Check Box 3530" hidden="1">
              <a:extLst>
                <a:ext uri="{63B3BB69-23CF-44E3-9099-C40C66FF867C}">
                  <a14:compatExt spid="_x0000_s109002"/>
                </a:ext>
                <a:ext uri="{FF2B5EF4-FFF2-40B4-BE49-F238E27FC236}">
                  <a16:creationId xmlns:a16="http://schemas.microsoft.com/office/drawing/2014/main" id="{00000000-0008-0000-0200-0000C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03" name="Check Box 3531" hidden="1">
              <a:extLst>
                <a:ext uri="{63B3BB69-23CF-44E3-9099-C40C66FF867C}">
                  <a14:compatExt spid="_x0000_s109003"/>
                </a:ext>
                <a:ext uri="{FF2B5EF4-FFF2-40B4-BE49-F238E27FC236}">
                  <a16:creationId xmlns:a16="http://schemas.microsoft.com/office/drawing/2014/main" id="{00000000-0008-0000-0200-0000C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04" name="Check Box 3532" hidden="1">
              <a:extLst>
                <a:ext uri="{63B3BB69-23CF-44E3-9099-C40C66FF867C}">
                  <a14:compatExt spid="_x0000_s109004"/>
                </a:ext>
                <a:ext uri="{FF2B5EF4-FFF2-40B4-BE49-F238E27FC236}">
                  <a16:creationId xmlns:a16="http://schemas.microsoft.com/office/drawing/2014/main" id="{00000000-0008-0000-0200-0000C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05" name="Check Box 3533" hidden="1">
              <a:extLst>
                <a:ext uri="{63B3BB69-23CF-44E3-9099-C40C66FF867C}">
                  <a14:compatExt spid="_x0000_s109005"/>
                </a:ext>
                <a:ext uri="{FF2B5EF4-FFF2-40B4-BE49-F238E27FC236}">
                  <a16:creationId xmlns:a16="http://schemas.microsoft.com/office/drawing/2014/main" id="{00000000-0008-0000-0200-0000C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06" name="Check Box 3534" hidden="1">
              <a:extLst>
                <a:ext uri="{63B3BB69-23CF-44E3-9099-C40C66FF867C}">
                  <a14:compatExt spid="_x0000_s109006"/>
                </a:ext>
                <a:ext uri="{FF2B5EF4-FFF2-40B4-BE49-F238E27FC236}">
                  <a16:creationId xmlns:a16="http://schemas.microsoft.com/office/drawing/2014/main" id="{00000000-0008-0000-0200-0000C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07" name="Check Box 3535" hidden="1">
              <a:extLst>
                <a:ext uri="{63B3BB69-23CF-44E3-9099-C40C66FF867C}">
                  <a14:compatExt spid="_x0000_s109007"/>
                </a:ext>
                <a:ext uri="{FF2B5EF4-FFF2-40B4-BE49-F238E27FC236}">
                  <a16:creationId xmlns:a16="http://schemas.microsoft.com/office/drawing/2014/main" id="{00000000-0008-0000-0200-0000C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08" name="Check Box 3536" hidden="1">
              <a:extLst>
                <a:ext uri="{63B3BB69-23CF-44E3-9099-C40C66FF867C}">
                  <a14:compatExt spid="_x0000_s109008"/>
                </a:ext>
                <a:ext uri="{FF2B5EF4-FFF2-40B4-BE49-F238E27FC236}">
                  <a16:creationId xmlns:a16="http://schemas.microsoft.com/office/drawing/2014/main" id="{00000000-0008-0000-0200-0000D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09" name="Check Box 3537" hidden="1">
              <a:extLst>
                <a:ext uri="{63B3BB69-23CF-44E3-9099-C40C66FF867C}">
                  <a14:compatExt spid="_x0000_s109009"/>
                </a:ext>
                <a:ext uri="{FF2B5EF4-FFF2-40B4-BE49-F238E27FC236}">
                  <a16:creationId xmlns:a16="http://schemas.microsoft.com/office/drawing/2014/main" id="{00000000-0008-0000-0200-0000D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10" name="Check Box 3538" hidden="1">
              <a:extLst>
                <a:ext uri="{63B3BB69-23CF-44E3-9099-C40C66FF867C}">
                  <a14:compatExt spid="_x0000_s109010"/>
                </a:ext>
                <a:ext uri="{FF2B5EF4-FFF2-40B4-BE49-F238E27FC236}">
                  <a16:creationId xmlns:a16="http://schemas.microsoft.com/office/drawing/2014/main" id="{00000000-0008-0000-0200-0000D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11" name="Check Box 3539" hidden="1">
              <a:extLst>
                <a:ext uri="{63B3BB69-23CF-44E3-9099-C40C66FF867C}">
                  <a14:compatExt spid="_x0000_s109011"/>
                </a:ext>
                <a:ext uri="{FF2B5EF4-FFF2-40B4-BE49-F238E27FC236}">
                  <a16:creationId xmlns:a16="http://schemas.microsoft.com/office/drawing/2014/main" id="{00000000-0008-0000-0200-0000D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12" name="Check Box 3540" hidden="1">
              <a:extLst>
                <a:ext uri="{63B3BB69-23CF-44E3-9099-C40C66FF867C}">
                  <a14:compatExt spid="_x0000_s109012"/>
                </a:ext>
                <a:ext uri="{FF2B5EF4-FFF2-40B4-BE49-F238E27FC236}">
                  <a16:creationId xmlns:a16="http://schemas.microsoft.com/office/drawing/2014/main" id="{00000000-0008-0000-0200-0000D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13" name="Check Box 3541" hidden="1">
              <a:extLst>
                <a:ext uri="{63B3BB69-23CF-44E3-9099-C40C66FF867C}">
                  <a14:compatExt spid="_x0000_s109013"/>
                </a:ext>
                <a:ext uri="{FF2B5EF4-FFF2-40B4-BE49-F238E27FC236}">
                  <a16:creationId xmlns:a16="http://schemas.microsoft.com/office/drawing/2014/main" id="{00000000-0008-0000-0200-0000D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14" name="Check Box 3542" hidden="1">
              <a:extLst>
                <a:ext uri="{63B3BB69-23CF-44E3-9099-C40C66FF867C}">
                  <a14:compatExt spid="_x0000_s109014"/>
                </a:ext>
                <a:ext uri="{FF2B5EF4-FFF2-40B4-BE49-F238E27FC236}">
                  <a16:creationId xmlns:a16="http://schemas.microsoft.com/office/drawing/2014/main" id="{00000000-0008-0000-0200-0000D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15" name="Check Box 3543" hidden="1">
              <a:extLst>
                <a:ext uri="{63B3BB69-23CF-44E3-9099-C40C66FF867C}">
                  <a14:compatExt spid="_x0000_s109015"/>
                </a:ext>
                <a:ext uri="{FF2B5EF4-FFF2-40B4-BE49-F238E27FC236}">
                  <a16:creationId xmlns:a16="http://schemas.microsoft.com/office/drawing/2014/main" id="{00000000-0008-0000-0200-0000D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16" name="Check Box 3544" hidden="1">
              <a:extLst>
                <a:ext uri="{63B3BB69-23CF-44E3-9099-C40C66FF867C}">
                  <a14:compatExt spid="_x0000_s109016"/>
                </a:ext>
                <a:ext uri="{FF2B5EF4-FFF2-40B4-BE49-F238E27FC236}">
                  <a16:creationId xmlns:a16="http://schemas.microsoft.com/office/drawing/2014/main" id="{00000000-0008-0000-0200-0000D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17" name="Check Box 3545" hidden="1">
              <a:extLst>
                <a:ext uri="{63B3BB69-23CF-44E3-9099-C40C66FF867C}">
                  <a14:compatExt spid="_x0000_s109017"/>
                </a:ext>
                <a:ext uri="{FF2B5EF4-FFF2-40B4-BE49-F238E27FC236}">
                  <a16:creationId xmlns:a16="http://schemas.microsoft.com/office/drawing/2014/main" id="{00000000-0008-0000-0200-0000D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18" name="Check Box 3546" hidden="1">
              <a:extLst>
                <a:ext uri="{63B3BB69-23CF-44E3-9099-C40C66FF867C}">
                  <a14:compatExt spid="_x0000_s109018"/>
                </a:ext>
                <a:ext uri="{FF2B5EF4-FFF2-40B4-BE49-F238E27FC236}">
                  <a16:creationId xmlns:a16="http://schemas.microsoft.com/office/drawing/2014/main" id="{00000000-0008-0000-0200-0000D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19" name="Check Box 3547" hidden="1">
              <a:extLst>
                <a:ext uri="{63B3BB69-23CF-44E3-9099-C40C66FF867C}">
                  <a14:compatExt spid="_x0000_s109019"/>
                </a:ext>
                <a:ext uri="{FF2B5EF4-FFF2-40B4-BE49-F238E27FC236}">
                  <a16:creationId xmlns:a16="http://schemas.microsoft.com/office/drawing/2014/main" id="{00000000-0008-0000-0200-0000D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20" name="Check Box 3548" hidden="1">
              <a:extLst>
                <a:ext uri="{63B3BB69-23CF-44E3-9099-C40C66FF867C}">
                  <a14:compatExt spid="_x0000_s109020"/>
                </a:ext>
                <a:ext uri="{FF2B5EF4-FFF2-40B4-BE49-F238E27FC236}">
                  <a16:creationId xmlns:a16="http://schemas.microsoft.com/office/drawing/2014/main" id="{00000000-0008-0000-0200-0000D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21" name="Check Box 3549" hidden="1">
              <a:extLst>
                <a:ext uri="{63B3BB69-23CF-44E3-9099-C40C66FF867C}">
                  <a14:compatExt spid="_x0000_s109021"/>
                </a:ext>
                <a:ext uri="{FF2B5EF4-FFF2-40B4-BE49-F238E27FC236}">
                  <a16:creationId xmlns:a16="http://schemas.microsoft.com/office/drawing/2014/main" id="{00000000-0008-0000-0200-0000D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22" name="Check Box 3550" hidden="1">
              <a:extLst>
                <a:ext uri="{63B3BB69-23CF-44E3-9099-C40C66FF867C}">
                  <a14:compatExt spid="_x0000_s109022"/>
                </a:ext>
                <a:ext uri="{FF2B5EF4-FFF2-40B4-BE49-F238E27FC236}">
                  <a16:creationId xmlns:a16="http://schemas.microsoft.com/office/drawing/2014/main" id="{00000000-0008-0000-0200-0000D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23" name="Check Box 3551" hidden="1">
              <a:extLst>
                <a:ext uri="{63B3BB69-23CF-44E3-9099-C40C66FF867C}">
                  <a14:compatExt spid="_x0000_s109023"/>
                </a:ext>
                <a:ext uri="{FF2B5EF4-FFF2-40B4-BE49-F238E27FC236}">
                  <a16:creationId xmlns:a16="http://schemas.microsoft.com/office/drawing/2014/main" id="{00000000-0008-0000-0200-0000D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24" name="Check Box 3552" hidden="1">
              <a:extLst>
                <a:ext uri="{63B3BB69-23CF-44E3-9099-C40C66FF867C}">
                  <a14:compatExt spid="_x0000_s109024"/>
                </a:ext>
                <a:ext uri="{FF2B5EF4-FFF2-40B4-BE49-F238E27FC236}">
                  <a16:creationId xmlns:a16="http://schemas.microsoft.com/office/drawing/2014/main" id="{00000000-0008-0000-0200-0000E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25" name="Check Box 3553" hidden="1">
              <a:extLst>
                <a:ext uri="{63B3BB69-23CF-44E3-9099-C40C66FF867C}">
                  <a14:compatExt spid="_x0000_s109025"/>
                </a:ext>
                <a:ext uri="{FF2B5EF4-FFF2-40B4-BE49-F238E27FC236}">
                  <a16:creationId xmlns:a16="http://schemas.microsoft.com/office/drawing/2014/main" id="{00000000-0008-0000-0200-0000E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26" name="Check Box 3554" hidden="1">
              <a:extLst>
                <a:ext uri="{63B3BB69-23CF-44E3-9099-C40C66FF867C}">
                  <a14:compatExt spid="_x0000_s109026"/>
                </a:ext>
                <a:ext uri="{FF2B5EF4-FFF2-40B4-BE49-F238E27FC236}">
                  <a16:creationId xmlns:a16="http://schemas.microsoft.com/office/drawing/2014/main" id="{00000000-0008-0000-0200-0000E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27" name="Check Box 3555" hidden="1">
              <a:extLst>
                <a:ext uri="{63B3BB69-23CF-44E3-9099-C40C66FF867C}">
                  <a14:compatExt spid="_x0000_s109027"/>
                </a:ext>
                <a:ext uri="{FF2B5EF4-FFF2-40B4-BE49-F238E27FC236}">
                  <a16:creationId xmlns:a16="http://schemas.microsoft.com/office/drawing/2014/main" id="{00000000-0008-0000-0200-0000E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28" name="Check Box 3556" hidden="1">
              <a:extLst>
                <a:ext uri="{63B3BB69-23CF-44E3-9099-C40C66FF867C}">
                  <a14:compatExt spid="_x0000_s109028"/>
                </a:ext>
                <a:ext uri="{FF2B5EF4-FFF2-40B4-BE49-F238E27FC236}">
                  <a16:creationId xmlns:a16="http://schemas.microsoft.com/office/drawing/2014/main" id="{00000000-0008-0000-0200-0000E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29" name="Check Box 3557" hidden="1">
              <a:extLst>
                <a:ext uri="{63B3BB69-23CF-44E3-9099-C40C66FF867C}">
                  <a14:compatExt spid="_x0000_s109029"/>
                </a:ext>
                <a:ext uri="{FF2B5EF4-FFF2-40B4-BE49-F238E27FC236}">
                  <a16:creationId xmlns:a16="http://schemas.microsoft.com/office/drawing/2014/main" id="{00000000-0008-0000-0200-0000E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30" name="Check Box 3558" hidden="1">
              <a:extLst>
                <a:ext uri="{63B3BB69-23CF-44E3-9099-C40C66FF867C}">
                  <a14:compatExt spid="_x0000_s109030"/>
                </a:ext>
                <a:ext uri="{FF2B5EF4-FFF2-40B4-BE49-F238E27FC236}">
                  <a16:creationId xmlns:a16="http://schemas.microsoft.com/office/drawing/2014/main" id="{00000000-0008-0000-0200-0000E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31" name="Check Box 3559" hidden="1">
              <a:extLst>
                <a:ext uri="{63B3BB69-23CF-44E3-9099-C40C66FF867C}">
                  <a14:compatExt spid="_x0000_s109031"/>
                </a:ext>
                <a:ext uri="{FF2B5EF4-FFF2-40B4-BE49-F238E27FC236}">
                  <a16:creationId xmlns:a16="http://schemas.microsoft.com/office/drawing/2014/main" id="{00000000-0008-0000-0200-0000E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32" name="Check Box 3560" hidden="1">
              <a:extLst>
                <a:ext uri="{63B3BB69-23CF-44E3-9099-C40C66FF867C}">
                  <a14:compatExt spid="_x0000_s109032"/>
                </a:ext>
                <a:ext uri="{FF2B5EF4-FFF2-40B4-BE49-F238E27FC236}">
                  <a16:creationId xmlns:a16="http://schemas.microsoft.com/office/drawing/2014/main" id="{00000000-0008-0000-0200-0000E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33" name="Check Box 3561" hidden="1">
              <a:extLst>
                <a:ext uri="{63B3BB69-23CF-44E3-9099-C40C66FF867C}">
                  <a14:compatExt spid="_x0000_s109033"/>
                </a:ext>
                <a:ext uri="{FF2B5EF4-FFF2-40B4-BE49-F238E27FC236}">
                  <a16:creationId xmlns:a16="http://schemas.microsoft.com/office/drawing/2014/main" id="{00000000-0008-0000-0200-0000E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34" name="Check Box 3562" hidden="1">
              <a:extLst>
                <a:ext uri="{63B3BB69-23CF-44E3-9099-C40C66FF867C}">
                  <a14:compatExt spid="_x0000_s109034"/>
                </a:ext>
                <a:ext uri="{FF2B5EF4-FFF2-40B4-BE49-F238E27FC236}">
                  <a16:creationId xmlns:a16="http://schemas.microsoft.com/office/drawing/2014/main" id="{00000000-0008-0000-0200-0000E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35" name="Check Box 3563" hidden="1">
              <a:extLst>
                <a:ext uri="{63B3BB69-23CF-44E3-9099-C40C66FF867C}">
                  <a14:compatExt spid="_x0000_s109035"/>
                </a:ext>
                <a:ext uri="{FF2B5EF4-FFF2-40B4-BE49-F238E27FC236}">
                  <a16:creationId xmlns:a16="http://schemas.microsoft.com/office/drawing/2014/main" id="{00000000-0008-0000-0200-0000E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36" name="Check Box 3564" hidden="1">
              <a:extLst>
                <a:ext uri="{63B3BB69-23CF-44E3-9099-C40C66FF867C}">
                  <a14:compatExt spid="_x0000_s109036"/>
                </a:ext>
                <a:ext uri="{FF2B5EF4-FFF2-40B4-BE49-F238E27FC236}">
                  <a16:creationId xmlns:a16="http://schemas.microsoft.com/office/drawing/2014/main" id="{00000000-0008-0000-0200-0000E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37" name="Check Box 3565" hidden="1">
              <a:extLst>
                <a:ext uri="{63B3BB69-23CF-44E3-9099-C40C66FF867C}">
                  <a14:compatExt spid="_x0000_s109037"/>
                </a:ext>
                <a:ext uri="{FF2B5EF4-FFF2-40B4-BE49-F238E27FC236}">
                  <a16:creationId xmlns:a16="http://schemas.microsoft.com/office/drawing/2014/main" id="{00000000-0008-0000-0200-0000E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38" name="Check Box 3566" hidden="1">
              <a:extLst>
                <a:ext uri="{63B3BB69-23CF-44E3-9099-C40C66FF867C}">
                  <a14:compatExt spid="_x0000_s109038"/>
                </a:ext>
                <a:ext uri="{FF2B5EF4-FFF2-40B4-BE49-F238E27FC236}">
                  <a16:creationId xmlns:a16="http://schemas.microsoft.com/office/drawing/2014/main" id="{00000000-0008-0000-0200-0000E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39" name="Check Box 3567" hidden="1">
              <a:extLst>
                <a:ext uri="{63B3BB69-23CF-44E3-9099-C40C66FF867C}">
                  <a14:compatExt spid="_x0000_s109039"/>
                </a:ext>
                <a:ext uri="{FF2B5EF4-FFF2-40B4-BE49-F238E27FC236}">
                  <a16:creationId xmlns:a16="http://schemas.microsoft.com/office/drawing/2014/main" id="{00000000-0008-0000-0200-0000E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40" name="Check Box 3568" hidden="1">
              <a:extLst>
                <a:ext uri="{63B3BB69-23CF-44E3-9099-C40C66FF867C}">
                  <a14:compatExt spid="_x0000_s109040"/>
                </a:ext>
                <a:ext uri="{FF2B5EF4-FFF2-40B4-BE49-F238E27FC236}">
                  <a16:creationId xmlns:a16="http://schemas.microsoft.com/office/drawing/2014/main" id="{00000000-0008-0000-0200-0000F0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41" name="Check Box 3569" hidden="1">
              <a:extLst>
                <a:ext uri="{63B3BB69-23CF-44E3-9099-C40C66FF867C}">
                  <a14:compatExt spid="_x0000_s109041"/>
                </a:ext>
                <a:ext uri="{FF2B5EF4-FFF2-40B4-BE49-F238E27FC236}">
                  <a16:creationId xmlns:a16="http://schemas.microsoft.com/office/drawing/2014/main" id="{00000000-0008-0000-0200-0000F1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42" name="Check Box 3570" hidden="1">
              <a:extLst>
                <a:ext uri="{63B3BB69-23CF-44E3-9099-C40C66FF867C}">
                  <a14:compatExt spid="_x0000_s109042"/>
                </a:ext>
                <a:ext uri="{FF2B5EF4-FFF2-40B4-BE49-F238E27FC236}">
                  <a16:creationId xmlns:a16="http://schemas.microsoft.com/office/drawing/2014/main" id="{00000000-0008-0000-0200-0000F2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43" name="Check Box 3571" hidden="1">
              <a:extLst>
                <a:ext uri="{63B3BB69-23CF-44E3-9099-C40C66FF867C}">
                  <a14:compatExt spid="_x0000_s109043"/>
                </a:ext>
                <a:ext uri="{FF2B5EF4-FFF2-40B4-BE49-F238E27FC236}">
                  <a16:creationId xmlns:a16="http://schemas.microsoft.com/office/drawing/2014/main" id="{00000000-0008-0000-0200-0000F3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44" name="Check Box 3572" hidden="1">
              <a:extLst>
                <a:ext uri="{63B3BB69-23CF-44E3-9099-C40C66FF867C}">
                  <a14:compatExt spid="_x0000_s109044"/>
                </a:ext>
                <a:ext uri="{FF2B5EF4-FFF2-40B4-BE49-F238E27FC236}">
                  <a16:creationId xmlns:a16="http://schemas.microsoft.com/office/drawing/2014/main" id="{00000000-0008-0000-0200-0000F4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45" name="Check Box 3573" hidden="1">
              <a:extLst>
                <a:ext uri="{63B3BB69-23CF-44E3-9099-C40C66FF867C}">
                  <a14:compatExt spid="_x0000_s109045"/>
                </a:ext>
                <a:ext uri="{FF2B5EF4-FFF2-40B4-BE49-F238E27FC236}">
                  <a16:creationId xmlns:a16="http://schemas.microsoft.com/office/drawing/2014/main" id="{00000000-0008-0000-0200-0000F5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46" name="Check Box 3574" hidden="1">
              <a:extLst>
                <a:ext uri="{63B3BB69-23CF-44E3-9099-C40C66FF867C}">
                  <a14:compatExt spid="_x0000_s109046"/>
                </a:ext>
                <a:ext uri="{FF2B5EF4-FFF2-40B4-BE49-F238E27FC236}">
                  <a16:creationId xmlns:a16="http://schemas.microsoft.com/office/drawing/2014/main" id="{00000000-0008-0000-0200-0000F6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47" name="Check Box 3575" hidden="1">
              <a:extLst>
                <a:ext uri="{63B3BB69-23CF-44E3-9099-C40C66FF867C}">
                  <a14:compatExt spid="_x0000_s109047"/>
                </a:ext>
                <a:ext uri="{FF2B5EF4-FFF2-40B4-BE49-F238E27FC236}">
                  <a16:creationId xmlns:a16="http://schemas.microsoft.com/office/drawing/2014/main" id="{00000000-0008-0000-0200-0000F7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486</xdr:row>
          <xdr:rowOff>0</xdr:rowOff>
        </xdr:from>
        <xdr:to>
          <xdr:col>5</xdr:col>
          <xdr:colOff>0</xdr:colOff>
          <xdr:row>537</xdr:row>
          <xdr:rowOff>47625</xdr:rowOff>
        </xdr:to>
        <xdr:sp macro="" textlink="">
          <xdr:nvSpPr>
            <xdr:cNvPr id="109048" name="Check Box 3576" hidden="1">
              <a:extLst>
                <a:ext uri="{63B3BB69-23CF-44E3-9099-C40C66FF867C}">
                  <a14:compatExt spid="_x0000_s109048"/>
                </a:ext>
                <a:ext uri="{FF2B5EF4-FFF2-40B4-BE49-F238E27FC236}">
                  <a16:creationId xmlns:a16="http://schemas.microsoft.com/office/drawing/2014/main" id="{00000000-0008-0000-0200-0000F8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537</xdr:row>
          <xdr:rowOff>0</xdr:rowOff>
        </xdr:from>
        <xdr:to>
          <xdr:col>5</xdr:col>
          <xdr:colOff>0</xdr:colOff>
          <xdr:row>538</xdr:row>
          <xdr:rowOff>47625</xdr:rowOff>
        </xdr:to>
        <xdr:sp macro="" textlink="">
          <xdr:nvSpPr>
            <xdr:cNvPr id="109049" name="Check Box 3577" hidden="1">
              <a:extLst>
                <a:ext uri="{63B3BB69-23CF-44E3-9099-C40C66FF867C}">
                  <a14:compatExt spid="_x0000_s109049"/>
                </a:ext>
                <a:ext uri="{FF2B5EF4-FFF2-40B4-BE49-F238E27FC236}">
                  <a16:creationId xmlns:a16="http://schemas.microsoft.com/office/drawing/2014/main" id="{00000000-0008-0000-0200-0000F9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538</xdr:row>
          <xdr:rowOff>0</xdr:rowOff>
        </xdr:from>
        <xdr:to>
          <xdr:col>5</xdr:col>
          <xdr:colOff>0</xdr:colOff>
          <xdr:row>539</xdr:row>
          <xdr:rowOff>47625</xdr:rowOff>
        </xdr:to>
        <xdr:sp macro="" textlink="">
          <xdr:nvSpPr>
            <xdr:cNvPr id="109050" name="Check Box 3578" hidden="1">
              <a:extLst>
                <a:ext uri="{63B3BB69-23CF-44E3-9099-C40C66FF867C}">
                  <a14:compatExt spid="_x0000_s109050"/>
                </a:ext>
                <a:ext uri="{FF2B5EF4-FFF2-40B4-BE49-F238E27FC236}">
                  <a16:creationId xmlns:a16="http://schemas.microsoft.com/office/drawing/2014/main" id="{00000000-0008-0000-0200-0000FA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539</xdr:row>
          <xdr:rowOff>0</xdr:rowOff>
        </xdr:from>
        <xdr:to>
          <xdr:col>5</xdr:col>
          <xdr:colOff>0</xdr:colOff>
          <xdr:row>540</xdr:row>
          <xdr:rowOff>47625</xdr:rowOff>
        </xdr:to>
        <xdr:sp macro="" textlink="">
          <xdr:nvSpPr>
            <xdr:cNvPr id="109051" name="Check Box 3579" hidden="1">
              <a:extLst>
                <a:ext uri="{63B3BB69-23CF-44E3-9099-C40C66FF867C}">
                  <a14:compatExt spid="_x0000_s109051"/>
                </a:ext>
                <a:ext uri="{FF2B5EF4-FFF2-40B4-BE49-F238E27FC236}">
                  <a16:creationId xmlns:a16="http://schemas.microsoft.com/office/drawing/2014/main" id="{00000000-0008-0000-0200-0000FB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540</xdr:row>
          <xdr:rowOff>0</xdr:rowOff>
        </xdr:from>
        <xdr:to>
          <xdr:col>5</xdr:col>
          <xdr:colOff>0</xdr:colOff>
          <xdr:row>541</xdr:row>
          <xdr:rowOff>47625</xdr:rowOff>
        </xdr:to>
        <xdr:sp macro="" textlink="">
          <xdr:nvSpPr>
            <xdr:cNvPr id="109052" name="Check Box 3580" hidden="1">
              <a:extLst>
                <a:ext uri="{63B3BB69-23CF-44E3-9099-C40C66FF867C}">
                  <a14:compatExt spid="_x0000_s109052"/>
                </a:ext>
                <a:ext uri="{FF2B5EF4-FFF2-40B4-BE49-F238E27FC236}">
                  <a16:creationId xmlns:a16="http://schemas.microsoft.com/office/drawing/2014/main" id="{00000000-0008-0000-0200-0000FC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541</xdr:row>
          <xdr:rowOff>0</xdr:rowOff>
        </xdr:from>
        <xdr:to>
          <xdr:col>5</xdr:col>
          <xdr:colOff>0</xdr:colOff>
          <xdr:row>542</xdr:row>
          <xdr:rowOff>47625</xdr:rowOff>
        </xdr:to>
        <xdr:sp macro="" textlink="">
          <xdr:nvSpPr>
            <xdr:cNvPr id="109053" name="Check Box 3581" hidden="1">
              <a:extLst>
                <a:ext uri="{63B3BB69-23CF-44E3-9099-C40C66FF867C}">
                  <a14:compatExt spid="_x0000_s109053"/>
                </a:ext>
                <a:ext uri="{FF2B5EF4-FFF2-40B4-BE49-F238E27FC236}">
                  <a16:creationId xmlns:a16="http://schemas.microsoft.com/office/drawing/2014/main" id="{00000000-0008-0000-0200-0000FD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542</xdr:row>
          <xdr:rowOff>0</xdr:rowOff>
        </xdr:from>
        <xdr:to>
          <xdr:col>5</xdr:col>
          <xdr:colOff>0</xdr:colOff>
          <xdr:row>543</xdr:row>
          <xdr:rowOff>47625</xdr:rowOff>
        </xdr:to>
        <xdr:sp macro="" textlink="">
          <xdr:nvSpPr>
            <xdr:cNvPr id="109054" name="Check Box 3582" hidden="1">
              <a:extLst>
                <a:ext uri="{63B3BB69-23CF-44E3-9099-C40C66FF867C}">
                  <a14:compatExt spid="_x0000_s109054"/>
                </a:ext>
                <a:ext uri="{FF2B5EF4-FFF2-40B4-BE49-F238E27FC236}">
                  <a16:creationId xmlns:a16="http://schemas.microsoft.com/office/drawing/2014/main" id="{00000000-0008-0000-0200-0000FE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543</xdr:row>
          <xdr:rowOff>0</xdr:rowOff>
        </xdr:from>
        <xdr:to>
          <xdr:col>5</xdr:col>
          <xdr:colOff>0</xdr:colOff>
          <xdr:row>544</xdr:row>
          <xdr:rowOff>47625</xdr:rowOff>
        </xdr:to>
        <xdr:sp macro="" textlink="">
          <xdr:nvSpPr>
            <xdr:cNvPr id="109055" name="Check Box 3583" hidden="1">
              <a:extLst>
                <a:ext uri="{63B3BB69-23CF-44E3-9099-C40C66FF867C}">
                  <a14:compatExt spid="_x0000_s109055"/>
                </a:ext>
                <a:ext uri="{FF2B5EF4-FFF2-40B4-BE49-F238E27FC236}">
                  <a16:creationId xmlns:a16="http://schemas.microsoft.com/office/drawing/2014/main" id="{00000000-0008-0000-0200-0000FFA9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544</xdr:row>
          <xdr:rowOff>0</xdr:rowOff>
        </xdr:from>
        <xdr:to>
          <xdr:col>5</xdr:col>
          <xdr:colOff>0</xdr:colOff>
          <xdr:row>545</xdr:row>
          <xdr:rowOff>47625</xdr:rowOff>
        </xdr:to>
        <xdr:sp macro="" textlink="">
          <xdr:nvSpPr>
            <xdr:cNvPr id="109056" name="Check Box 3584" hidden="1">
              <a:extLst>
                <a:ext uri="{63B3BB69-23CF-44E3-9099-C40C66FF867C}">
                  <a14:compatExt spid="_x0000_s109056"/>
                </a:ext>
                <a:ext uri="{FF2B5EF4-FFF2-40B4-BE49-F238E27FC236}">
                  <a16:creationId xmlns:a16="http://schemas.microsoft.com/office/drawing/2014/main" id="{00000000-0008-0000-0200-000000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545</xdr:row>
          <xdr:rowOff>0</xdr:rowOff>
        </xdr:from>
        <xdr:to>
          <xdr:col>5</xdr:col>
          <xdr:colOff>0</xdr:colOff>
          <xdr:row>546</xdr:row>
          <xdr:rowOff>47625</xdr:rowOff>
        </xdr:to>
        <xdr:sp macro="" textlink="">
          <xdr:nvSpPr>
            <xdr:cNvPr id="109057" name="Check Box 3585" hidden="1">
              <a:extLst>
                <a:ext uri="{63B3BB69-23CF-44E3-9099-C40C66FF867C}">
                  <a14:compatExt spid="_x0000_s109057"/>
                </a:ext>
                <a:ext uri="{FF2B5EF4-FFF2-40B4-BE49-F238E27FC236}">
                  <a16:creationId xmlns:a16="http://schemas.microsoft.com/office/drawing/2014/main" id="{00000000-0008-0000-0200-000001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546</xdr:row>
          <xdr:rowOff>0</xdr:rowOff>
        </xdr:from>
        <xdr:to>
          <xdr:col>5</xdr:col>
          <xdr:colOff>0</xdr:colOff>
          <xdr:row>547</xdr:row>
          <xdr:rowOff>47625</xdr:rowOff>
        </xdr:to>
        <xdr:sp macro="" textlink="">
          <xdr:nvSpPr>
            <xdr:cNvPr id="109058" name="Check Box 3586" hidden="1">
              <a:extLst>
                <a:ext uri="{63B3BB69-23CF-44E3-9099-C40C66FF867C}">
                  <a14:compatExt spid="_x0000_s109058"/>
                </a:ext>
                <a:ext uri="{FF2B5EF4-FFF2-40B4-BE49-F238E27FC236}">
                  <a16:creationId xmlns:a16="http://schemas.microsoft.com/office/drawing/2014/main" id="{00000000-0008-0000-0200-000002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547</xdr:row>
          <xdr:rowOff>0</xdr:rowOff>
        </xdr:from>
        <xdr:to>
          <xdr:col>5</xdr:col>
          <xdr:colOff>0</xdr:colOff>
          <xdr:row>548</xdr:row>
          <xdr:rowOff>47625</xdr:rowOff>
        </xdr:to>
        <xdr:sp macro="" textlink="">
          <xdr:nvSpPr>
            <xdr:cNvPr id="109059" name="Check Box 3587" hidden="1">
              <a:extLst>
                <a:ext uri="{63B3BB69-23CF-44E3-9099-C40C66FF867C}">
                  <a14:compatExt spid="_x0000_s109059"/>
                </a:ext>
                <a:ext uri="{FF2B5EF4-FFF2-40B4-BE49-F238E27FC236}">
                  <a16:creationId xmlns:a16="http://schemas.microsoft.com/office/drawing/2014/main" id="{00000000-0008-0000-0200-000003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548</xdr:row>
          <xdr:rowOff>0</xdr:rowOff>
        </xdr:from>
        <xdr:to>
          <xdr:col>5</xdr:col>
          <xdr:colOff>0</xdr:colOff>
          <xdr:row>549</xdr:row>
          <xdr:rowOff>47625</xdr:rowOff>
        </xdr:to>
        <xdr:sp macro="" textlink="">
          <xdr:nvSpPr>
            <xdr:cNvPr id="109060" name="Check Box 3588" hidden="1">
              <a:extLst>
                <a:ext uri="{63B3BB69-23CF-44E3-9099-C40C66FF867C}">
                  <a14:compatExt spid="_x0000_s109060"/>
                </a:ext>
                <a:ext uri="{FF2B5EF4-FFF2-40B4-BE49-F238E27FC236}">
                  <a16:creationId xmlns:a16="http://schemas.microsoft.com/office/drawing/2014/main" id="{00000000-0008-0000-0200-000004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549</xdr:row>
          <xdr:rowOff>0</xdr:rowOff>
        </xdr:from>
        <xdr:to>
          <xdr:col>5</xdr:col>
          <xdr:colOff>0</xdr:colOff>
          <xdr:row>550</xdr:row>
          <xdr:rowOff>47625</xdr:rowOff>
        </xdr:to>
        <xdr:sp macro="" textlink="">
          <xdr:nvSpPr>
            <xdr:cNvPr id="109061" name="Check Box 3589" hidden="1">
              <a:extLst>
                <a:ext uri="{63B3BB69-23CF-44E3-9099-C40C66FF867C}">
                  <a14:compatExt spid="_x0000_s109061"/>
                </a:ext>
                <a:ext uri="{FF2B5EF4-FFF2-40B4-BE49-F238E27FC236}">
                  <a16:creationId xmlns:a16="http://schemas.microsoft.com/office/drawing/2014/main" id="{00000000-0008-0000-0200-000005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550</xdr:row>
          <xdr:rowOff>0</xdr:rowOff>
        </xdr:from>
        <xdr:to>
          <xdr:col>5</xdr:col>
          <xdr:colOff>0</xdr:colOff>
          <xdr:row>551</xdr:row>
          <xdr:rowOff>47625</xdr:rowOff>
        </xdr:to>
        <xdr:sp macro="" textlink="">
          <xdr:nvSpPr>
            <xdr:cNvPr id="109062" name="Check Box 3590" hidden="1">
              <a:extLst>
                <a:ext uri="{63B3BB69-23CF-44E3-9099-C40C66FF867C}">
                  <a14:compatExt spid="_x0000_s109062"/>
                </a:ext>
                <a:ext uri="{FF2B5EF4-FFF2-40B4-BE49-F238E27FC236}">
                  <a16:creationId xmlns:a16="http://schemas.microsoft.com/office/drawing/2014/main" id="{00000000-0008-0000-0200-000006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551</xdr:row>
          <xdr:rowOff>0</xdr:rowOff>
        </xdr:from>
        <xdr:to>
          <xdr:col>5</xdr:col>
          <xdr:colOff>0</xdr:colOff>
          <xdr:row>552</xdr:row>
          <xdr:rowOff>47625</xdr:rowOff>
        </xdr:to>
        <xdr:sp macro="" textlink="">
          <xdr:nvSpPr>
            <xdr:cNvPr id="109063" name="Check Box 3591" hidden="1">
              <a:extLst>
                <a:ext uri="{63B3BB69-23CF-44E3-9099-C40C66FF867C}">
                  <a14:compatExt spid="_x0000_s109063"/>
                </a:ext>
                <a:ext uri="{FF2B5EF4-FFF2-40B4-BE49-F238E27FC236}">
                  <a16:creationId xmlns:a16="http://schemas.microsoft.com/office/drawing/2014/main" id="{00000000-0008-0000-0200-000007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552</xdr:row>
          <xdr:rowOff>0</xdr:rowOff>
        </xdr:from>
        <xdr:to>
          <xdr:col>5</xdr:col>
          <xdr:colOff>0</xdr:colOff>
          <xdr:row>553</xdr:row>
          <xdr:rowOff>47625</xdr:rowOff>
        </xdr:to>
        <xdr:sp macro="" textlink="">
          <xdr:nvSpPr>
            <xdr:cNvPr id="109064" name="Check Box 3592" hidden="1">
              <a:extLst>
                <a:ext uri="{63B3BB69-23CF-44E3-9099-C40C66FF867C}">
                  <a14:compatExt spid="_x0000_s109064"/>
                </a:ext>
                <a:ext uri="{FF2B5EF4-FFF2-40B4-BE49-F238E27FC236}">
                  <a16:creationId xmlns:a16="http://schemas.microsoft.com/office/drawing/2014/main" id="{00000000-0008-0000-0200-000008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553</xdr:row>
          <xdr:rowOff>0</xdr:rowOff>
        </xdr:from>
        <xdr:to>
          <xdr:col>5</xdr:col>
          <xdr:colOff>0</xdr:colOff>
          <xdr:row>554</xdr:row>
          <xdr:rowOff>47625</xdr:rowOff>
        </xdr:to>
        <xdr:sp macro="" textlink="">
          <xdr:nvSpPr>
            <xdr:cNvPr id="109065" name="Check Box 3593" hidden="1">
              <a:extLst>
                <a:ext uri="{63B3BB69-23CF-44E3-9099-C40C66FF867C}">
                  <a14:compatExt spid="_x0000_s109065"/>
                </a:ext>
                <a:ext uri="{FF2B5EF4-FFF2-40B4-BE49-F238E27FC236}">
                  <a16:creationId xmlns:a16="http://schemas.microsoft.com/office/drawing/2014/main" id="{00000000-0008-0000-0200-000009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554</xdr:row>
          <xdr:rowOff>0</xdr:rowOff>
        </xdr:from>
        <xdr:to>
          <xdr:col>5</xdr:col>
          <xdr:colOff>0</xdr:colOff>
          <xdr:row>555</xdr:row>
          <xdr:rowOff>47625</xdr:rowOff>
        </xdr:to>
        <xdr:sp macro="" textlink="">
          <xdr:nvSpPr>
            <xdr:cNvPr id="109066" name="Check Box 3594" hidden="1">
              <a:extLst>
                <a:ext uri="{63B3BB69-23CF-44E3-9099-C40C66FF867C}">
                  <a14:compatExt spid="_x0000_s109066"/>
                </a:ext>
                <a:ext uri="{FF2B5EF4-FFF2-40B4-BE49-F238E27FC236}">
                  <a16:creationId xmlns:a16="http://schemas.microsoft.com/office/drawing/2014/main" id="{00000000-0008-0000-0200-00000A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555</xdr:row>
          <xdr:rowOff>0</xdr:rowOff>
        </xdr:from>
        <xdr:to>
          <xdr:col>5</xdr:col>
          <xdr:colOff>0</xdr:colOff>
          <xdr:row>556</xdr:row>
          <xdr:rowOff>47625</xdr:rowOff>
        </xdr:to>
        <xdr:sp macro="" textlink="">
          <xdr:nvSpPr>
            <xdr:cNvPr id="109067" name="Check Box 3595" hidden="1">
              <a:extLst>
                <a:ext uri="{63B3BB69-23CF-44E3-9099-C40C66FF867C}">
                  <a14:compatExt spid="_x0000_s109067"/>
                </a:ext>
                <a:ext uri="{FF2B5EF4-FFF2-40B4-BE49-F238E27FC236}">
                  <a16:creationId xmlns:a16="http://schemas.microsoft.com/office/drawing/2014/main" id="{00000000-0008-0000-0200-00000B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556</xdr:row>
          <xdr:rowOff>0</xdr:rowOff>
        </xdr:from>
        <xdr:to>
          <xdr:col>5</xdr:col>
          <xdr:colOff>0</xdr:colOff>
          <xdr:row>557</xdr:row>
          <xdr:rowOff>47625</xdr:rowOff>
        </xdr:to>
        <xdr:sp macro="" textlink="">
          <xdr:nvSpPr>
            <xdr:cNvPr id="109068" name="Check Box 3596" hidden="1">
              <a:extLst>
                <a:ext uri="{63B3BB69-23CF-44E3-9099-C40C66FF867C}">
                  <a14:compatExt spid="_x0000_s109068"/>
                </a:ext>
                <a:ext uri="{FF2B5EF4-FFF2-40B4-BE49-F238E27FC236}">
                  <a16:creationId xmlns:a16="http://schemas.microsoft.com/office/drawing/2014/main" id="{00000000-0008-0000-0200-00000C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557</xdr:row>
          <xdr:rowOff>0</xdr:rowOff>
        </xdr:from>
        <xdr:to>
          <xdr:col>5</xdr:col>
          <xdr:colOff>0</xdr:colOff>
          <xdr:row>558</xdr:row>
          <xdr:rowOff>47625</xdr:rowOff>
        </xdr:to>
        <xdr:sp macro="" textlink="">
          <xdr:nvSpPr>
            <xdr:cNvPr id="109069" name="Check Box 3597" hidden="1">
              <a:extLst>
                <a:ext uri="{63B3BB69-23CF-44E3-9099-C40C66FF867C}">
                  <a14:compatExt spid="_x0000_s109069"/>
                </a:ext>
                <a:ext uri="{FF2B5EF4-FFF2-40B4-BE49-F238E27FC236}">
                  <a16:creationId xmlns:a16="http://schemas.microsoft.com/office/drawing/2014/main" id="{00000000-0008-0000-0200-00000D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558</xdr:row>
          <xdr:rowOff>0</xdr:rowOff>
        </xdr:from>
        <xdr:to>
          <xdr:col>5</xdr:col>
          <xdr:colOff>0</xdr:colOff>
          <xdr:row>559</xdr:row>
          <xdr:rowOff>47625</xdr:rowOff>
        </xdr:to>
        <xdr:sp macro="" textlink="">
          <xdr:nvSpPr>
            <xdr:cNvPr id="109070" name="Check Box 3598" hidden="1">
              <a:extLst>
                <a:ext uri="{63B3BB69-23CF-44E3-9099-C40C66FF867C}">
                  <a14:compatExt spid="_x0000_s109070"/>
                </a:ext>
                <a:ext uri="{FF2B5EF4-FFF2-40B4-BE49-F238E27FC236}">
                  <a16:creationId xmlns:a16="http://schemas.microsoft.com/office/drawing/2014/main" id="{00000000-0008-0000-0200-00000E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559</xdr:row>
          <xdr:rowOff>0</xdr:rowOff>
        </xdr:from>
        <xdr:to>
          <xdr:col>5</xdr:col>
          <xdr:colOff>0</xdr:colOff>
          <xdr:row>560</xdr:row>
          <xdr:rowOff>47625</xdr:rowOff>
        </xdr:to>
        <xdr:sp macro="" textlink="">
          <xdr:nvSpPr>
            <xdr:cNvPr id="109071" name="Check Box 3599" hidden="1">
              <a:extLst>
                <a:ext uri="{63B3BB69-23CF-44E3-9099-C40C66FF867C}">
                  <a14:compatExt spid="_x0000_s109071"/>
                </a:ext>
                <a:ext uri="{FF2B5EF4-FFF2-40B4-BE49-F238E27FC236}">
                  <a16:creationId xmlns:a16="http://schemas.microsoft.com/office/drawing/2014/main" id="{00000000-0008-0000-0200-00000F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560</xdr:row>
          <xdr:rowOff>0</xdr:rowOff>
        </xdr:from>
        <xdr:to>
          <xdr:col>5</xdr:col>
          <xdr:colOff>0</xdr:colOff>
          <xdr:row>561</xdr:row>
          <xdr:rowOff>47625</xdr:rowOff>
        </xdr:to>
        <xdr:sp macro="" textlink="">
          <xdr:nvSpPr>
            <xdr:cNvPr id="109072" name="Check Box 3600" hidden="1">
              <a:extLst>
                <a:ext uri="{63B3BB69-23CF-44E3-9099-C40C66FF867C}">
                  <a14:compatExt spid="_x0000_s109072"/>
                </a:ext>
                <a:ext uri="{FF2B5EF4-FFF2-40B4-BE49-F238E27FC236}">
                  <a16:creationId xmlns:a16="http://schemas.microsoft.com/office/drawing/2014/main" id="{00000000-0008-0000-0200-000010AA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3</xdr:col>
          <xdr:colOff>0</xdr:colOff>
          <xdr:row>9</xdr:row>
          <xdr:rowOff>47625</xdr:rowOff>
        </xdr:to>
        <xdr:sp macro="" textlink="">
          <xdr:nvSpPr>
            <xdr:cNvPr id="91612" name="Check Box 1500" hidden="1">
              <a:extLst>
                <a:ext uri="{63B3BB69-23CF-44E3-9099-C40C66FF867C}">
                  <a14:compatExt spid="_x0000_s91612"/>
                </a:ext>
                <a:ext uri="{FF2B5EF4-FFF2-40B4-BE49-F238E27FC236}">
                  <a16:creationId xmlns:a16="http://schemas.microsoft.com/office/drawing/2014/main" id="{00000000-0008-0000-0300-0000DC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3</xdr:col>
          <xdr:colOff>0</xdr:colOff>
          <xdr:row>10</xdr:row>
          <xdr:rowOff>47625</xdr:rowOff>
        </xdr:to>
        <xdr:sp macro="" textlink="">
          <xdr:nvSpPr>
            <xdr:cNvPr id="91613" name="Check Box 1501" hidden="1">
              <a:extLst>
                <a:ext uri="{63B3BB69-23CF-44E3-9099-C40C66FF867C}">
                  <a14:compatExt spid="_x0000_s91613"/>
                </a:ext>
                <a:ext uri="{FF2B5EF4-FFF2-40B4-BE49-F238E27FC236}">
                  <a16:creationId xmlns:a16="http://schemas.microsoft.com/office/drawing/2014/main" id="{00000000-0008-0000-0300-0000DD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3</xdr:col>
          <xdr:colOff>0</xdr:colOff>
          <xdr:row>11</xdr:row>
          <xdr:rowOff>0</xdr:rowOff>
        </xdr:to>
        <xdr:sp macro="" textlink="">
          <xdr:nvSpPr>
            <xdr:cNvPr id="91614" name="Check Box 1502" hidden="1">
              <a:extLst>
                <a:ext uri="{63B3BB69-23CF-44E3-9099-C40C66FF867C}">
                  <a14:compatExt spid="_x0000_s91614"/>
                </a:ext>
                <a:ext uri="{FF2B5EF4-FFF2-40B4-BE49-F238E27FC236}">
                  <a16:creationId xmlns:a16="http://schemas.microsoft.com/office/drawing/2014/main" id="{00000000-0008-0000-0300-0000DE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3</xdr:col>
          <xdr:colOff>0</xdr:colOff>
          <xdr:row>12</xdr:row>
          <xdr:rowOff>0</xdr:rowOff>
        </xdr:to>
        <xdr:sp macro="" textlink="">
          <xdr:nvSpPr>
            <xdr:cNvPr id="91615" name="Check Box 1503" hidden="1">
              <a:extLst>
                <a:ext uri="{63B3BB69-23CF-44E3-9099-C40C66FF867C}">
                  <a14:compatExt spid="_x0000_s91615"/>
                </a:ext>
                <a:ext uri="{FF2B5EF4-FFF2-40B4-BE49-F238E27FC236}">
                  <a16:creationId xmlns:a16="http://schemas.microsoft.com/office/drawing/2014/main" id="{00000000-0008-0000-0300-0000DF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3</xdr:col>
          <xdr:colOff>0</xdr:colOff>
          <xdr:row>13</xdr:row>
          <xdr:rowOff>47625</xdr:rowOff>
        </xdr:to>
        <xdr:sp macro="" textlink="">
          <xdr:nvSpPr>
            <xdr:cNvPr id="91616" name="Check Box 1504" hidden="1">
              <a:extLst>
                <a:ext uri="{63B3BB69-23CF-44E3-9099-C40C66FF867C}">
                  <a14:compatExt spid="_x0000_s91616"/>
                </a:ext>
                <a:ext uri="{FF2B5EF4-FFF2-40B4-BE49-F238E27FC236}">
                  <a16:creationId xmlns:a16="http://schemas.microsoft.com/office/drawing/2014/main" id="{00000000-0008-0000-0300-0000E0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3</xdr:col>
          <xdr:colOff>0</xdr:colOff>
          <xdr:row>14</xdr:row>
          <xdr:rowOff>47625</xdr:rowOff>
        </xdr:to>
        <xdr:sp macro="" textlink="">
          <xdr:nvSpPr>
            <xdr:cNvPr id="91617" name="Check Box 1505" hidden="1">
              <a:extLst>
                <a:ext uri="{63B3BB69-23CF-44E3-9099-C40C66FF867C}">
                  <a14:compatExt spid="_x0000_s91617"/>
                </a:ext>
                <a:ext uri="{FF2B5EF4-FFF2-40B4-BE49-F238E27FC236}">
                  <a16:creationId xmlns:a16="http://schemas.microsoft.com/office/drawing/2014/main" id="{00000000-0008-0000-0300-0000E1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3</xdr:col>
          <xdr:colOff>0</xdr:colOff>
          <xdr:row>15</xdr:row>
          <xdr:rowOff>47625</xdr:rowOff>
        </xdr:to>
        <xdr:sp macro="" textlink="">
          <xdr:nvSpPr>
            <xdr:cNvPr id="91618" name="Check Box 1506" hidden="1">
              <a:extLst>
                <a:ext uri="{63B3BB69-23CF-44E3-9099-C40C66FF867C}">
                  <a14:compatExt spid="_x0000_s91618"/>
                </a:ext>
                <a:ext uri="{FF2B5EF4-FFF2-40B4-BE49-F238E27FC236}">
                  <a16:creationId xmlns:a16="http://schemas.microsoft.com/office/drawing/2014/main" id="{00000000-0008-0000-0300-0000E2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0</xdr:colOff>
          <xdr:row>16</xdr:row>
          <xdr:rowOff>0</xdr:rowOff>
        </xdr:to>
        <xdr:sp macro="" textlink="">
          <xdr:nvSpPr>
            <xdr:cNvPr id="91619" name="Check Box 1507" hidden="1">
              <a:extLst>
                <a:ext uri="{63B3BB69-23CF-44E3-9099-C40C66FF867C}">
                  <a14:compatExt spid="_x0000_s91619"/>
                </a:ext>
                <a:ext uri="{FF2B5EF4-FFF2-40B4-BE49-F238E27FC236}">
                  <a16:creationId xmlns:a16="http://schemas.microsoft.com/office/drawing/2014/main" id="{00000000-0008-0000-0300-0000E3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3</xdr:col>
          <xdr:colOff>0</xdr:colOff>
          <xdr:row>17</xdr:row>
          <xdr:rowOff>47625</xdr:rowOff>
        </xdr:to>
        <xdr:sp macro="" textlink="">
          <xdr:nvSpPr>
            <xdr:cNvPr id="91620" name="Check Box 1508" hidden="1">
              <a:extLst>
                <a:ext uri="{63B3BB69-23CF-44E3-9099-C40C66FF867C}">
                  <a14:compatExt spid="_x0000_s91620"/>
                </a:ext>
                <a:ext uri="{FF2B5EF4-FFF2-40B4-BE49-F238E27FC236}">
                  <a16:creationId xmlns:a16="http://schemas.microsoft.com/office/drawing/2014/main" id="{00000000-0008-0000-0300-0000E4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3</xdr:col>
          <xdr:colOff>0</xdr:colOff>
          <xdr:row>18</xdr:row>
          <xdr:rowOff>47625</xdr:rowOff>
        </xdr:to>
        <xdr:sp macro="" textlink="">
          <xdr:nvSpPr>
            <xdr:cNvPr id="91621" name="Check Box 1509" hidden="1">
              <a:extLst>
                <a:ext uri="{63B3BB69-23CF-44E3-9099-C40C66FF867C}">
                  <a14:compatExt spid="_x0000_s91621"/>
                </a:ext>
                <a:ext uri="{FF2B5EF4-FFF2-40B4-BE49-F238E27FC236}">
                  <a16:creationId xmlns:a16="http://schemas.microsoft.com/office/drawing/2014/main" id="{00000000-0008-0000-0300-0000E5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3</xdr:col>
          <xdr:colOff>0</xdr:colOff>
          <xdr:row>19</xdr:row>
          <xdr:rowOff>47625</xdr:rowOff>
        </xdr:to>
        <xdr:sp macro="" textlink="">
          <xdr:nvSpPr>
            <xdr:cNvPr id="91622" name="Check Box 1510" hidden="1">
              <a:extLst>
                <a:ext uri="{63B3BB69-23CF-44E3-9099-C40C66FF867C}">
                  <a14:compatExt spid="_x0000_s91622"/>
                </a:ext>
                <a:ext uri="{FF2B5EF4-FFF2-40B4-BE49-F238E27FC236}">
                  <a16:creationId xmlns:a16="http://schemas.microsoft.com/office/drawing/2014/main" id="{00000000-0008-0000-0300-0000E6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3</xdr:col>
          <xdr:colOff>0</xdr:colOff>
          <xdr:row>20</xdr:row>
          <xdr:rowOff>47625</xdr:rowOff>
        </xdr:to>
        <xdr:sp macro="" textlink="">
          <xdr:nvSpPr>
            <xdr:cNvPr id="91623" name="Check Box 1511" hidden="1">
              <a:extLst>
                <a:ext uri="{63B3BB69-23CF-44E3-9099-C40C66FF867C}">
                  <a14:compatExt spid="_x0000_s91623"/>
                </a:ext>
                <a:ext uri="{FF2B5EF4-FFF2-40B4-BE49-F238E27FC236}">
                  <a16:creationId xmlns:a16="http://schemas.microsoft.com/office/drawing/2014/main" id="{00000000-0008-0000-0300-0000E7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3</xdr:col>
          <xdr:colOff>0</xdr:colOff>
          <xdr:row>21</xdr:row>
          <xdr:rowOff>47625</xdr:rowOff>
        </xdr:to>
        <xdr:sp macro="" textlink="">
          <xdr:nvSpPr>
            <xdr:cNvPr id="91624" name="Check Box 1512" hidden="1">
              <a:extLst>
                <a:ext uri="{63B3BB69-23CF-44E3-9099-C40C66FF867C}">
                  <a14:compatExt spid="_x0000_s91624"/>
                </a:ext>
                <a:ext uri="{FF2B5EF4-FFF2-40B4-BE49-F238E27FC236}">
                  <a16:creationId xmlns:a16="http://schemas.microsoft.com/office/drawing/2014/main" id="{00000000-0008-0000-0300-0000E8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3</xdr:col>
          <xdr:colOff>0</xdr:colOff>
          <xdr:row>22</xdr:row>
          <xdr:rowOff>47625</xdr:rowOff>
        </xdr:to>
        <xdr:sp macro="" textlink="">
          <xdr:nvSpPr>
            <xdr:cNvPr id="91625" name="Check Box 1513" hidden="1">
              <a:extLst>
                <a:ext uri="{63B3BB69-23CF-44E3-9099-C40C66FF867C}">
                  <a14:compatExt spid="_x0000_s91625"/>
                </a:ext>
                <a:ext uri="{FF2B5EF4-FFF2-40B4-BE49-F238E27FC236}">
                  <a16:creationId xmlns:a16="http://schemas.microsoft.com/office/drawing/2014/main" id="{00000000-0008-0000-0300-0000E9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3</xdr:col>
          <xdr:colOff>0</xdr:colOff>
          <xdr:row>23</xdr:row>
          <xdr:rowOff>47625</xdr:rowOff>
        </xdr:to>
        <xdr:sp macro="" textlink="">
          <xdr:nvSpPr>
            <xdr:cNvPr id="91626" name="Check Box 1514" hidden="1">
              <a:extLst>
                <a:ext uri="{63B3BB69-23CF-44E3-9099-C40C66FF867C}">
                  <a14:compatExt spid="_x0000_s91626"/>
                </a:ext>
                <a:ext uri="{FF2B5EF4-FFF2-40B4-BE49-F238E27FC236}">
                  <a16:creationId xmlns:a16="http://schemas.microsoft.com/office/drawing/2014/main" id="{00000000-0008-0000-0300-0000EA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3</xdr:col>
          <xdr:colOff>0</xdr:colOff>
          <xdr:row>24</xdr:row>
          <xdr:rowOff>47625</xdr:rowOff>
        </xdr:to>
        <xdr:sp macro="" textlink="">
          <xdr:nvSpPr>
            <xdr:cNvPr id="91627" name="Check Box 1515" hidden="1">
              <a:extLst>
                <a:ext uri="{63B3BB69-23CF-44E3-9099-C40C66FF867C}">
                  <a14:compatExt spid="_x0000_s91627"/>
                </a:ext>
                <a:ext uri="{FF2B5EF4-FFF2-40B4-BE49-F238E27FC236}">
                  <a16:creationId xmlns:a16="http://schemas.microsoft.com/office/drawing/2014/main" id="{00000000-0008-0000-0300-0000EB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3</xdr:col>
          <xdr:colOff>0</xdr:colOff>
          <xdr:row>25</xdr:row>
          <xdr:rowOff>47625</xdr:rowOff>
        </xdr:to>
        <xdr:sp macro="" textlink="">
          <xdr:nvSpPr>
            <xdr:cNvPr id="91628" name="Check Box 1516" hidden="1">
              <a:extLst>
                <a:ext uri="{63B3BB69-23CF-44E3-9099-C40C66FF867C}">
                  <a14:compatExt spid="_x0000_s91628"/>
                </a:ext>
                <a:ext uri="{FF2B5EF4-FFF2-40B4-BE49-F238E27FC236}">
                  <a16:creationId xmlns:a16="http://schemas.microsoft.com/office/drawing/2014/main" id="{00000000-0008-0000-0300-0000EC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3</xdr:col>
          <xdr:colOff>0</xdr:colOff>
          <xdr:row>26</xdr:row>
          <xdr:rowOff>47625</xdr:rowOff>
        </xdr:to>
        <xdr:sp macro="" textlink="">
          <xdr:nvSpPr>
            <xdr:cNvPr id="91629" name="Check Box 1517" hidden="1">
              <a:extLst>
                <a:ext uri="{63B3BB69-23CF-44E3-9099-C40C66FF867C}">
                  <a14:compatExt spid="_x0000_s91629"/>
                </a:ext>
                <a:ext uri="{FF2B5EF4-FFF2-40B4-BE49-F238E27FC236}">
                  <a16:creationId xmlns:a16="http://schemas.microsoft.com/office/drawing/2014/main" id="{00000000-0008-0000-0300-0000ED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3</xdr:col>
          <xdr:colOff>0</xdr:colOff>
          <xdr:row>27</xdr:row>
          <xdr:rowOff>47625</xdr:rowOff>
        </xdr:to>
        <xdr:sp macro="" textlink="">
          <xdr:nvSpPr>
            <xdr:cNvPr id="91630" name="Check Box 1518" hidden="1">
              <a:extLst>
                <a:ext uri="{63B3BB69-23CF-44E3-9099-C40C66FF867C}">
                  <a14:compatExt spid="_x0000_s91630"/>
                </a:ext>
                <a:ext uri="{FF2B5EF4-FFF2-40B4-BE49-F238E27FC236}">
                  <a16:creationId xmlns:a16="http://schemas.microsoft.com/office/drawing/2014/main" id="{00000000-0008-0000-0300-0000EE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3</xdr:col>
          <xdr:colOff>0</xdr:colOff>
          <xdr:row>28</xdr:row>
          <xdr:rowOff>47625</xdr:rowOff>
        </xdr:to>
        <xdr:sp macro="" textlink="">
          <xdr:nvSpPr>
            <xdr:cNvPr id="91631" name="Check Box 1519" hidden="1">
              <a:extLst>
                <a:ext uri="{63B3BB69-23CF-44E3-9099-C40C66FF867C}">
                  <a14:compatExt spid="_x0000_s91631"/>
                </a:ext>
                <a:ext uri="{FF2B5EF4-FFF2-40B4-BE49-F238E27FC236}">
                  <a16:creationId xmlns:a16="http://schemas.microsoft.com/office/drawing/2014/main" id="{00000000-0008-0000-0300-0000EF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3</xdr:col>
          <xdr:colOff>0</xdr:colOff>
          <xdr:row>29</xdr:row>
          <xdr:rowOff>47625</xdr:rowOff>
        </xdr:to>
        <xdr:sp macro="" textlink="">
          <xdr:nvSpPr>
            <xdr:cNvPr id="91632" name="Check Box 1520" hidden="1">
              <a:extLst>
                <a:ext uri="{63B3BB69-23CF-44E3-9099-C40C66FF867C}">
                  <a14:compatExt spid="_x0000_s91632"/>
                </a:ext>
                <a:ext uri="{FF2B5EF4-FFF2-40B4-BE49-F238E27FC236}">
                  <a16:creationId xmlns:a16="http://schemas.microsoft.com/office/drawing/2014/main" id="{00000000-0008-0000-0300-0000F0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3</xdr:col>
          <xdr:colOff>0</xdr:colOff>
          <xdr:row>30</xdr:row>
          <xdr:rowOff>47625</xdr:rowOff>
        </xdr:to>
        <xdr:sp macro="" textlink="">
          <xdr:nvSpPr>
            <xdr:cNvPr id="91633" name="Check Box 1521" hidden="1">
              <a:extLst>
                <a:ext uri="{63B3BB69-23CF-44E3-9099-C40C66FF867C}">
                  <a14:compatExt spid="_x0000_s91633"/>
                </a:ext>
                <a:ext uri="{FF2B5EF4-FFF2-40B4-BE49-F238E27FC236}">
                  <a16:creationId xmlns:a16="http://schemas.microsoft.com/office/drawing/2014/main" id="{00000000-0008-0000-0300-0000F1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3</xdr:col>
          <xdr:colOff>0</xdr:colOff>
          <xdr:row>31</xdr:row>
          <xdr:rowOff>47625</xdr:rowOff>
        </xdr:to>
        <xdr:sp macro="" textlink="">
          <xdr:nvSpPr>
            <xdr:cNvPr id="91634" name="Check Box 1522" hidden="1">
              <a:extLst>
                <a:ext uri="{63B3BB69-23CF-44E3-9099-C40C66FF867C}">
                  <a14:compatExt spid="_x0000_s91634"/>
                </a:ext>
                <a:ext uri="{FF2B5EF4-FFF2-40B4-BE49-F238E27FC236}">
                  <a16:creationId xmlns:a16="http://schemas.microsoft.com/office/drawing/2014/main" id="{00000000-0008-0000-0300-0000F2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3</xdr:col>
          <xdr:colOff>0</xdr:colOff>
          <xdr:row>32</xdr:row>
          <xdr:rowOff>47625</xdr:rowOff>
        </xdr:to>
        <xdr:sp macro="" textlink="">
          <xdr:nvSpPr>
            <xdr:cNvPr id="91635" name="Check Box 1523" hidden="1">
              <a:extLst>
                <a:ext uri="{63B3BB69-23CF-44E3-9099-C40C66FF867C}">
                  <a14:compatExt spid="_x0000_s91635"/>
                </a:ext>
                <a:ext uri="{FF2B5EF4-FFF2-40B4-BE49-F238E27FC236}">
                  <a16:creationId xmlns:a16="http://schemas.microsoft.com/office/drawing/2014/main" id="{00000000-0008-0000-0300-0000F3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3</xdr:col>
          <xdr:colOff>0</xdr:colOff>
          <xdr:row>33</xdr:row>
          <xdr:rowOff>47625</xdr:rowOff>
        </xdr:to>
        <xdr:sp macro="" textlink="">
          <xdr:nvSpPr>
            <xdr:cNvPr id="91636" name="Check Box 1524" hidden="1">
              <a:extLst>
                <a:ext uri="{63B3BB69-23CF-44E3-9099-C40C66FF867C}">
                  <a14:compatExt spid="_x0000_s91636"/>
                </a:ext>
                <a:ext uri="{FF2B5EF4-FFF2-40B4-BE49-F238E27FC236}">
                  <a16:creationId xmlns:a16="http://schemas.microsoft.com/office/drawing/2014/main" id="{00000000-0008-0000-0300-0000F4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3</xdr:col>
          <xdr:colOff>0</xdr:colOff>
          <xdr:row>34</xdr:row>
          <xdr:rowOff>47625</xdr:rowOff>
        </xdr:to>
        <xdr:sp macro="" textlink="">
          <xdr:nvSpPr>
            <xdr:cNvPr id="91637" name="Check Box 1525" hidden="1">
              <a:extLst>
                <a:ext uri="{63B3BB69-23CF-44E3-9099-C40C66FF867C}">
                  <a14:compatExt spid="_x0000_s91637"/>
                </a:ext>
                <a:ext uri="{FF2B5EF4-FFF2-40B4-BE49-F238E27FC236}">
                  <a16:creationId xmlns:a16="http://schemas.microsoft.com/office/drawing/2014/main" id="{00000000-0008-0000-0300-0000F5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3</xdr:col>
          <xdr:colOff>0</xdr:colOff>
          <xdr:row>35</xdr:row>
          <xdr:rowOff>47625</xdr:rowOff>
        </xdr:to>
        <xdr:sp macro="" textlink="">
          <xdr:nvSpPr>
            <xdr:cNvPr id="91638" name="Check Box 1526" hidden="1">
              <a:extLst>
                <a:ext uri="{63B3BB69-23CF-44E3-9099-C40C66FF867C}">
                  <a14:compatExt spid="_x0000_s91638"/>
                </a:ext>
                <a:ext uri="{FF2B5EF4-FFF2-40B4-BE49-F238E27FC236}">
                  <a16:creationId xmlns:a16="http://schemas.microsoft.com/office/drawing/2014/main" id="{00000000-0008-0000-0300-0000F6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3</xdr:col>
          <xdr:colOff>0</xdr:colOff>
          <xdr:row>36</xdr:row>
          <xdr:rowOff>47625</xdr:rowOff>
        </xdr:to>
        <xdr:sp macro="" textlink="">
          <xdr:nvSpPr>
            <xdr:cNvPr id="91639" name="Check Box 1527" hidden="1">
              <a:extLst>
                <a:ext uri="{63B3BB69-23CF-44E3-9099-C40C66FF867C}">
                  <a14:compatExt spid="_x0000_s91639"/>
                </a:ext>
                <a:ext uri="{FF2B5EF4-FFF2-40B4-BE49-F238E27FC236}">
                  <a16:creationId xmlns:a16="http://schemas.microsoft.com/office/drawing/2014/main" id="{00000000-0008-0000-0300-0000F7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3</xdr:col>
          <xdr:colOff>0</xdr:colOff>
          <xdr:row>37</xdr:row>
          <xdr:rowOff>47625</xdr:rowOff>
        </xdr:to>
        <xdr:sp macro="" textlink="">
          <xdr:nvSpPr>
            <xdr:cNvPr id="91640" name="Check Box 1528" hidden="1">
              <a:extLst>
                <a:ext uri="{63B3BB69-23CF-44E3-9099-C40C66FF867C}">
                  <a14:compatExt spid="_x0000_s91640"/>
                </a:ext>
                <a:ext uri="{FF2B5EF4-FFF2-40B4-BE49-F238E27FC236}">
                  <a16:creationId xmlns:a16="http://schemas.microsoft.com/office/drawing/2014/main" id="{00000000-0008-0000-0300-0000F8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3</xdr:col>
          <xdr:colOff>0</xdr:colOff>
          <xdr:row>38</xdr:row>
          <xdr:rowOff>47625</xdr:rowOff>
        </xdr:to>
        <xdr:sp macro="" textlink="">
          <xdr:nvSpPr>
            <xdr:cNvPr id="91641" name="Check Box 1529" hidden="1">
              <a:extLst>
                <a:ext uri="{63B3BB69-23CF-44E3-9099-C40C66FF867C}">
                  <a14:compatExt spid="_x0000_s91641"/>
                </a:ext>
                <a:ext uri="{FF2B5EF4-FFF2-40B4-BE49-F238E27FC236}">
                  <a16:creationId xmlns:a16="http://schemas.microsoft.com/office/drawing/2014/main" id="{00000000-0008-0000-0300-0000F9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3</xdr:col>
          <xdr:colOff>0</xdr:colOff>
          <xdr:row>39</xdr:row>
          <xdr:rowOff>47625</xdr:rowOff>
        </xdr:to>
        <xdr:sp macro="" textlink="">
          <xdr:nvSpPr>
            <xdr:cNvPr id="91642" name="Check Box 1530" hidden="1">
              <a:extLst>
                <a:ext uri="{63B3BB69-23CF-44E3-9099-C40C66FF867C}">
                  <a14:compatExt spid="_x0000_s91642"/>
                </a:ext>
                <a:ext uri="{FF2B5EF4-FFF2-40B4-BE49-F238E27FC236}">
                  <a16:creationId xmlns:a16="http://schemas.microsoft.com/office/drawing/2014/main" id="{00000000-0008-0000-0300-0000FA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0</xdr:colOff>
          <xdr:row>40</xdr:row>
          <xdr:rowOff>47625</xdr:rowOff>
        </xdr:to>
        <xdr:sp macro="" textlink="">
          <xdr:nvSpPr>
            <xdr:cNvPr id="91643" name="Check Box 1531" hidden="1">
              <a:extLst>
                <a:ext uri="{63B3BB69-23CF-44E3-9099-C40C66FF867C}">
                  <a14:compatExt spid="_x0000_s91643"/>
                </a:ext>
                <a:ext uri="{FF2B5EF4-FFF2-40B4-BE49-F238E27FC236}">
                  <a16:creationId xmlns:a16="http://schemas.microsoft.com/office/drawing/2014/main" id="{00000000-0008-0000-0300-0000FB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3</xdr:col>
          <xdr:colOff>0</xdr:colOff>
          <xdr:row>41</xdr:row>
          <xdr:rowOff>47625</xdr:rowOff>
        </xdr:to>
        <xdr:sp macro="" textlink="">
          <xdr:nvSpPr>
            <xdr:cNvPr id="91644" name="Check Box 1532" hidden="1">
              <a:extLst>
                <a:ext uri="{63B3BB69-23CF-44E3-9099-C40C66FF867C}">
                  <a14:compatExt spid="_x0000_s91644"/>
                </a:ext>
                <a:ext uri="{FF2B5EF4-FFF2-40B4-BE49-F238E27FC236}">
                  <a16:creationId xmlns:a16="http://schemas.microsoft.com/office/drawing/2014/main" id="{00000000-0008-0000-0300-0000FC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0</xdr:colOff>
          <xdr:row>42</xdr:row>
          <xdr:rowOff>47625</xdr:rowOff>
        </xdr:to>
        <xdr:sp macro="" textlink="">
          <xdr:nvSpPr>
            <xdr:cNvPr id="91645" name="Check Box 1533" hidden="1">
              <a:extLst>
                <a:ext uri="{63B3BB69-23CF-44E3-9099-C40C66FF867C}">
                  <a14:compatExt spid="_x0000_s91645"/>
                </a:ext>
                <a:ext uri="{FF2B5EF4-FFF2-40B4-BE49-F238E27FC236}">
                  <a16:creationId xmlns:a16="http://schemas.microsoft.com/office/drawing/2014/main" id="{00000000-0008-0000-0300-0000FD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3</xdr:col>
          <xdr:colOff>0</xdr:colOff>
          <xdr:row>43</xdr:row>
          <xdr:rowOff>47625</xdr:rowOff>
        </xdr:to>
        <xdr:sp macro="" textlink="">
          <xdr:nvSpPr>
            <xdr:cNvPr id="91646" name="Check Box 1534" hidden="1">
              <a:extLst>
                <a:ext uri="{63B3BB69-23CF-44E3-9099-C40C66FF867C}">
                  <a14:compatExt spid="_x0000_s91646"/>
                </a:ext>
                <a:ext uri="{FF2B5EF4-FFF2-40B4-BE49-F238E27FC236}">
                  <a16:creationId xmlns:a16="http://schemas.microsoft.com/office/drawing/2014/main" id="{00000000-0008-0000-0300-0000FE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0</xdr:colOff>
          <xdr:row>44</xdr:row>
          <xdr:rowOff>47625</xdr:rowOff>
        </xdr:to>
        <xdr:sp macro="" textlink="">
          <xdr:nvSpPr>
            <xdr:cNvPr id="91647" name="Check Box 1535" hidden="1">
              <a:extLst>
                <a:ext uri="{63B3BB69-23CF-44E3-9099-C40C66FF867C}">
                  <a14:compatExt spid="_x0000_s91647"/>
                </a:ext>
                <a:ext uri="{FF2B5EF4-FFF2-40B4-BE49-F238E27FC236}">
                  <a16:creationId xmlns:a16="http://schemas.microsoft.com/office/drawing/2014/main" id="{00000000-0008-0000-0300-0000FF65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3</xdr:col>
          <xdr:colOff>0</xdr:colOff>
          <xdr:row>45</xdr:row>
          <xdr:rowOff>47625</xdr:rowOff>
        </xdr:to>
        <xdr:sp macro="" textlink="">
          <xdr:nvSpPr>
            <xdr:cNvPr id="91648" name="Check Box 1536" hidden="1">
              <a:extLst>
                <a:ext uri="{63B3BB69-23CF-44E3-9099-C40C66FF867C}">
                  <a14:compatExt spid="_x0000_s91648"/>
                </a:ext>
                <a:ext uri="{FF2B5EF4-FFF2-40B4-BE49-F238E27FC236}">
                  <a16:creationId xmlns:a16="http://schemas.microsoft.com/office/drawing/2014/main" id="{00000000-0008-0000-0300-000000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3</xdr:col>
          <xdr:colOff>0</xdr:colOff>
          <xdr:row>46</xdr:row>
          <xdr:rowOff>47625</xdr:rowOff>
        </xdr:to>
        <xdr:sp macro="" textlink="">
          <xdr:nvSpPr>
            <xdr:cNvPr id="91649" name="Check Box 1537" hidden="1">
              <a:extLst>
                <a:ext uri="{63B3BB69-23CF-44E3-9099-C40C66FF867C}">
                  <a14:compatExt spid="_x0000_s91649"/>
                </a:ext>
                <a:ext uri="{FF2B5EF4-FFF2-40B4-BE49-F238E27FC236}">
                  <a16:creationId xmlns:a16="http://schemas.microsoft.com/office/drawing/2014/main" id="{00000000-0008-0000-0300-000001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9525</xdr:rowOff>
        </xdr:from>
        <xdr:to>
          <xdr:col>3</xdr:col>
          <xdr:colOff>0</xdr:colOff>
          <xdr:row>47</xdr:row>
          <xdr:rowOff>57150</xdr:rowOff>
        </xdr:to>
        <xdr:sp macro="" textlink="">
          <xdr:nvSpPr>
            <xdr:cNvPr id="91650" name="Check Box 1538" hidden="1">
              <a:extLst>
                <a:ext uri="{63B3BB69-23CF-44E3-9099-C40C66FF867C}">
                  <a14:compatExt spid="_x0000_s91650"/>
                </a:ext>
                <a:ext uri="{FF2B5EF4-FFF2-40B4-BE49-F238E27FC236}">
                  <a16:creationId xmlns:a16="http://schemas.microsoft.com/office/drawing/2014/main" id="{00000000-0008-0000-0300-000002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3</xdr:col>
          <xdr:colOff>0</xdr:colOff>
          <xdr:row>48</xdr:row>
          <xdr:rowOff>47625</xdr:rowOff>
        </xdr:to>
        <xdr:sp macro="" textlink="">
          <xdr:nvSpPr>
            <xdr:cNvPr id="91651" name="Check Box 1539" hidden="1">
              <a:extLst>
                <a:ext uri="{63B3BB69-23CF-44E3-9099-C40C66FF867C}">
                  <a14:compatExt spid="_x0000_s91651"/>
                </a:ext>
                <a:ext uri="{FF2B5EF4-FFF2-40B4-BE49-F238E27FC236}">
                  <a16:creationId xmlns:a16="http://schemas.microsoft.com/office/drawing/2014/main" id="{00000000-0008-0000-0300-000003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3</xdr:col>
          <xdr:colOff>0</xdr:colOff>
          <xdr:row>49</xdr:row>
          <xdr:rowOff>47625</xdr:rowOff>
        </xdr:to>
        <xdr:sp macro="" textlink="">
          <xdr:nvSpPr>
            <xdr:cNvPr id="91652" name="Check Box 1540" hidden="1">
              <a:extLst>
                <a:ext uri="{63B3BB69-23CF-44E3-9099-C40C66FF867C}">
                  <a14:compatExt spid="_x0000_s91652"/>
                </a:ext>
                <a:ext uri="{FF2B5EF4-FFF2-40B4-BE49-F238E27FC236}">
                  <a16:creationId xmlns:a16="http://schemas.microsoft.com/office/drawing/2014/main" id="{00000000-0008-0000-0300-000004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3</xdr:col>
          <xdr:colOff>0</xdr:colOff>
          <xdr:row>50</xdr:row>
          <xdr:rowOff>47625</xdr:rowOff>
        </xdr:to>
        <xdr:sp macro="" textlink="">
          <xdr:nvSpPr>
            <xdr:cNvPr id="91653" name="Check Box 1541" hidden="1">
              <a:extLst>
                <a:ext uri="{63B3BB69-23CF-44E3-9099-C40C66FF867C}">
                  <a14:compatExt spid="_x0000_s91653"/>
                </a:ext>
                <a:ext uri="{FF2B5EF4-FFF2-40B4-BE49-F238E27FC236}">
                  <a16:creationId xmlns:a16="http://schemas.microsoft.com/office/drawing/2014/main" id="{00000000-0008-0000-0300-000005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3</xdr:col>
          <xdr:colOff>0</xdr:colOff>
          <xdr:row>51</xdr:row>
          <xdr:rowOff>47625</xdr:rowOff>
        </xdr:to>
        <xdr:sp macro="" textlink="">
          <xdr:nvSpPr>
            <xdr:cNvPr id="91654" name="Check Box 1542" hidden="1">
              <a:extLst>
                <a:ext uri="{63B3BB69-23CF-44E3-9099-C40C66FF867C}">
                  <a14:compatExt spid="_x0000_s91654"/>
                </a:ext>
                <a:ext uri="{FF2B5EF4-FFF2-40B4-BE49-F238E27FC236}">
                  <a16:creationId xmlns:a16="http://schemas.microsoft.com/office/drawing/2014/main" id="{00000000-0008-0000-0300-000006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3</xdr:col>
          <xdr:colOff>0</xdr:colOff>
          <xdr:row>52</xdr:row>
          <xdr:rowOff>47625</xdr:rowOff>
        </xdr:to>
        <xdr:sp macro="" textlink="">
          <xdr:nvSpPr>
            <xdr:cNvPr id="91655" name="Check Box 1543" hidden="1">
              <a:extLst>
                <a:ext uri="{63B3BB69-23CF-44E3-9099-C40C66FF867C}">
                  <a14:compatExt spid="_x0000_s91655"/>
                </a:ext>
                <a:ext uri="{FF2B5EF4-FFF2-40B4-BE49-F238E27FC236}">
                  <a16:creationId xmlns:a16="http://schemas.microsoft.com/office/drawing/2014/main" id="{00000000-0008-0000-0300-000007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3</xdr:col>
          <xdr:colOff>0</xdr:colOff>
          <xdr:row>53</xdr:row>
          <xdr:rowOff>47625</xdr:rowOff>
        </xdr:to>
        <xdr:sp macro="" textlink="">
          <xdr:nvSpPr>
            <xdr:cNvPr id="91656" name="Check Box 1544" hidden="1">
              <a:extLst>
                <a:ext uri="{63B3BB69-23CF-44E3-9099-C40C66FF867C}">
                  <a14:compatExt spid="_x0000_s91656"/>
                </a:ext>
                <a:ext uri="{FF2B5EF4-FFF2-40B4-BE49-F238E27FC236}">
                  <a16:creationId xmlns:a16="http://schemas.microsoft.com/office/drawing/2014/main" id="{00000000-0008-0000-0300-000008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3</xdr:col>
          <xdr:colOff>0</xdr:colOff>
          <xdr:row>54</xdr:row>
          <xdr:rowOff>47625</xdr:rowOff>
        </xdr:to>
        <xdr:sp macro="" textlink="">
          <xdr:nvSpPr>
            <xdr:cNvPr id="91657" name="Check Box 1545" hidden="1">
              <a:extLst>
                <a:ext uri="{63B3BB69-23CF-44E3-9099-C40C66FF867C}">
                  <a14:compatExt spid="_x0000_s91657"/>
                </a:ext>
                <a:ext uri="{FF2B5EF4-FFF2-40B4-BE49-F238E27FC236}">
                  <a16:creationId xmlns:a16="http://schemas.microsoft.com/office/drawing/2014/main" id="{00000000-0008-0000-0300-000009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3</xdr:col>
          <xdr:colOff>0</xdr:colOff>
          <xdr:row>55</xdr:row>
          <xdr:rowOff>47625</xdr:rowOff>
        </xdr:to>
        <xdr:sp macro="" textlink="">
          <xdr:nvSpPr>
            <xdr:cNvPr id="91658" name="Check Box 1546" hidden="1">
              <a:extLst>
                <a:ext uri="{63B3BB69-23CF-44E3-9099-C40C66FF867C}">
                  <a14:compatExt spid="_x0000_s91658"/>
                </a:ext>
                <a:ext uri="{FF2B5EF4-FFF2-40B4-BE49-F238E27FC236}">
                  <a16:creationId xmlns:a16="http://schemas.microsoft.com/office/drawing/2014/main" id="{00000000-0008-0000-0300-00000A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3</xdr:col>
          <xdr:colOff>0</xdr:colOff>
          <xdr:row>56</xdr:row>
          <xdr:rowOff>0</xdr:rowOff>
        </xdr:to>
        <xdr:sp macro="" textlink="">
          <xdr:nvSpPr>
            <xdr:cNvPr id="91659" name="Check Box 1547" hidden="1">
              <a:extLst>
                <a:ext uri="{63B3BB69-23CF-44E3-9099-C40C66FF867C}">
                  <a14:compatExt spid="_x0000_s91659"/>
                </a:ext>
                <a:ext uri="{FF2B5EF4-FFF2-40B4-BE49-F238E27FC236}">
                  <a16:creationId xmlns:a16="http://schemas.microsoft.com/office/drawing/2014/main" id="{00000000-0008-0000-0300-00000B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3</xdr:col>
          <xdr:colOff>0</xdr:colOff>
          <xdr:row>57</xdr:row>
          <xdr:rowOff>47625</xdr:rowOff>
        </xdr:to>
        <xdr:sp macro="" textlink="">
          <xdr:nvSpPr>
            <xdr:cNvPr id="91660" name="Check Box 1548" hidden="1">
              <a:extLst>
                <a:ext uri="{63B3BB69-23CF-44E3-9099-C40C66FF867C}">
                  <a14:compatExt spid="_x0000_s91660"/>
                </a:ext>
                <a:ext uri="{FF2B5EF4-FFF2-40B4-BE49-F238E27FC236}">
                  <a16:creationId xmlns:a16="http://schemas.microsoft.com/office/drawing/2014/main" id="{00000000-0008-0000-0300-00000C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0</xdr:rowOff>
        </xdr:from>
        <xdr:to>
          <xdr:col>3</xdr:col>
          <xdr:colOff>0</xdr:colOff>
          <xdr:row>58</xdr:row>
          <xdr:rowOff>47625</xdr:rowOff>
        </xdr:to>
        <xdr:sp macro="" textlink="">
          <xdr:nvSpPr>
            <xdr:cNvPr id="91661" name="Check Box 1549" hidden="1">
              <a:extLst>
                <a:ext uri="{63B3BB69-23CF-44E3-9099-C40C66FF867C}">
                  <a14:compatExt spid="_x0000_s91661"/>
                </a:ext>
                <a:ext uri="{FF2B5EF4-FFF2-40B4-BE49-F238E27FC236}">
                  <a16:creationId xmlns:a16="http://schemas.microsoft.com/office/drawing/2014/main" id="{00000000-0008-0000-0300-00000D66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2</xdr:col>
          <xdr:colOff>8458200</xdr:colOff>
          <xdr:row>9</xdr:row>
          <xdr:rowOff>19050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400-0000F3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2</xdr:col>
          <xdr:colOff>8458200</xdr:colOff>
          <xdr:row>10</xdr:row>
          <xdr:rowOff>19050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400-0000F4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2</xdr:col>
          <xdr:colOff>8458200</xdr:colOff>
          <xdr:row>11</xdr:row>
          <xdr:rowOff>19050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400-0000F5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2</xdr:col>
          <xdr:colOff>8458200</xdr:colOff>
          <xdr:row>12</xdr:row>
          <xdr:rowOff>19050</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400-0000F6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2</xdr:col>
          <xdr:colOff>8458200</xdr:colOff>
          <xdr:row>13</xdr:row>
          <xdr:rowOff>19050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400-0000F7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2</xdr:col>
          <xdr:colOff>8458200</xdr:colOff>
          <xdr:row>14</xdr:row>
          <xdr:rowOff>19050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400-0000F8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2</xdr:col>
          <xdr:colOff>8458200</xdr:colOff>
          <xdr:row>15</xdr:row>
          <xdr:rowOff>19050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400-0000F9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2</xdr:col>
          <xdr:colOff>8458200</xdr:colOff>
          <xdr:row>16</xdr:row>
          <xdr:rowOff>19050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400-0000FA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2</xdr:col>
          <xdr:colOff>8458200</xdr:colOff>
          <xdr:row>17</xdr:row>
          <xdr:rowOff>19050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400-0000FB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2</xdr:col>
          <xdr:colOff>8458200</xdr:colOff>
          <xdr:row>18</xdr:row>
          <xdr:rowOff>19050</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400-0000FC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2</xdr:col>
          <xdr:colOff>8458200</xdr:colOff>
          <xdr:row>19</xdr:row>
          <xdr:rowOff>19050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400-0000FD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8458200</xdr:colOff>
          <xdr:row>20</xdr:row>
          <xdr:rowOff>19050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400-0000FE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2</xdr:col>
          <xdr:colOff>8458200</xdr:colOff>
          <xdr:row>21</xdr:row>
          <xdr:rowOff>19050</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400-0000FF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2</xdr:col>
          <xdr:colOff>8458200</xdr:colOff>
          <xdr:row>22</xdr:row>
          <xdr:rowOff>19050</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400-0000005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2</xdr:col>
          <xdr:colOff>8458200</xdr:colOff>
          <xdr:row>23</xdr:row>
          <xdr:rowOff>9525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400-0000015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2</xdr:col>
          <xdr:colOff>8458200</xdr:colOff>
          <xdr:row>24</xdr:row>
          <xdr:rowOff>19050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400-0000025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2</xdr:col>
          <xdr:colOff>8458200</xdr:colOff>
          <xdr:row>25</xdr:row>
          <xdr:rowOff>19050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400-0000035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2</xdr:col>
          <xdr:colOff>8458200</xdr:colOff>
          <xdr:row>26</xdr:row>
          <xdr:rowOff>19050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400-0000045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2</xdr:col>
          <xdr:colOff>8458200</xdr:colOff>
          <xdr:row>27</xdr:row>
          <xdr:rowOff>19050</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400-0000055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2</xdr:col>
          <xdr:colOff>8458200</xdr:colOff>
          <xdr:row>28</xdr:row>
          <xdr:rowOff>19050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400-0000065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2</xdr:col>
          <xdr:colOff>8458200</xdr:colOff>
          <xdr:row>29</xdr:row>
          <xdr:rowOff>19050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400-0000075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xdr:col>
          <xdr:colOff>8458200</xdr:colOff>
          <xdr:row>30</xdr:row>
          <xdr:rowOff>19050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400-0000085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3</xdr:col>
          <xdr:colOff>0</xdr:colOff>
          <xdr:row>9</xdr:row>
          <xdr:rowOff>28575</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500-000069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3</xdr:col>
          <xdr:colOff>0</xdr:colOff>
          <xdr:row>10</xdr:row>
          <xdr:rowOff>28575</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500-00006A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3</xdr:col>
          <xdr:colOff>0</xdr:colOff>
          <xdr:row>11</xdr:row>
          <xdr:rowOff>28575</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500-00006B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3</xdr:col>
          <xdr:colOff>0</xdr:colOff>
          <xdr:row>12</xdr:row>
          <xdr:rowOff>28575</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500-00006C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3</xdr:col>
          <xdr:colOff>0</xdr:colOff>
          <xdr:row>13</xdr:row>
          <xdr:rowOff>0</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500-00006D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3</xdr:col>
          <xdr:colOff>0</xdr:colOff>
          <xdr:row>14</xdr:row>
          <xdr:rowOff>28575</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500-00006E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3</xdr:col>
          <xdr:colOff>0</xdr:colOff>
          <xdr:row>15</xdr:row>
          <xdr:rowOff>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500-00006F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0</xdr:colOff>
          <xdr:row>16</xdr:row>
          <xdr:rowOff>28575</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500-000070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3</xdr:col>
          <xdr:colOff>0</xdr:colOff>
          <xdr:row>17</xdr:row>
          <xdr:rowOff>28575</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500-000071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3</xdr:col>
          <xdr:colOff>0</xdr:colOff>
          <xdr:row>18</xdr:row>
          <xdr:rowOff>28575</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500-000072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3</xdr:col>
          <xdr:colOff>0</xdr:colOff>
          <xdr:row>19</xdr:row>
          <xdr:rowOff>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500-000073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3</xdr:col>
          <xdr:colOff>0</xdr:colOff>
          <xdr:row>20</xdr:row>
          <xdr:rowOff>28575</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500-000074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3</xdr:col>
          <xdr:colOff>0</xdr:colOff>
          <xdr:row>21</xdr:row>
          <xdr:rowOff>28575</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500-000075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3</xdr:col>
          <xdr:colOff>0</xdr:colOff>
          <xdr:row>22</xdr:row>
          <xdr:rowOff>28575</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500-000076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3</xdr:col>
          <xdr:colOff>0</xdr:colOff>
          <xdr:row>23</xdr:row>
          <xdr:rowOff>28575</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500-000077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3</xdr:col>
          <xdr:colOff>0</xdr:colOff>
          <xdr:row>24</xdr:row>
          <xdr:rowOff>28575</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500-000078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3</xdr:col>
          <xdr:colOff>0</xdr:colOff>
          <xdr:row>25</xdr:row>
          <xdr:rowOff>28575</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500-000079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3</xdr:col>
          <xdr:colOff>0</xdr:colOff>
          <xdr:row>26</xdr:row>
          <xdr:rowOff>28575</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500-00007A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3</xdr:col>
          <xdr:colOff>0</xdr:colOff>
          <xdr:row>27</xdr:row>
          <xdr:rowOff>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500-00007B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3</xdr:col>
          <xdr:colOff>0</xdr:colOff>
          <xdr:row>28</xdr:row>
          <xdr:rowOff>28575</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500-00007C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3</xdr:col>
          <xdr:colOff>0</xdr:colOff>
          <xdr:row>29</xdr:row>
          <xdr:rowOff>0</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500-00007D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3</xdr:col>
          <xdr:colOff>0</xdr:colOff>
          <xdr:row>30</xdr:row>
          <xdr:rowOff>28575</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500-00007E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3</xdr:col>
          <xdr:colOff>0</xdr:colOff>
          <xdr:row>30</xdr:row>
          <xdr:rowOff>361950</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500-00007F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3</xdr:col>
          <xdr:colOff>0</xdr:colOff>
          <xdr:row>32</xdr:row>
          <xdr:rowOff>28575</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500-000080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3</xdr:col>
          <xdr:colOff>0</xdr:colOff>
          <xdr:row>33</xdr:row>
          <xdr:rowOff>28575</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500-000081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3</xdr:col>
          <xdr:colOff>0</xdr:colOff>
          <xdr:row>34</xdr:row>
          <xdr:rowOff>28575</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500-000082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3</xdr:col>
          <xdr:colOff>0</xdr:colOff>
          <xdr:row>35</xdr:row>
          <xdr:rowOff>28575</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500-000083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3</xdr:col>
          <xdr:colOff>0</xdr:colOff>
          <xdr:row>36</xdr:row>
          <xdr:rowOff>28575</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500-000084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3</xdr:col>
          <xdr:colOff>0</xdr:colOff>
          <xdr:row>37</xdr:row>
          <xdr:rowOff>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500-000085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3</xdr:col>
          <xdr:colOff>0</xdr:colOff>
          <xdr:row>38</xdr:row>
          <xdr:rowOff>28575</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500-000086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3</xdr:col>
          <xdr:colOff>0</xdr:colOff>
          <xdr:row>9</xdr:row>
          <xdr:rowOff>19050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600-00000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3</xdr:col>
          <xdr:colOff>0</xdr:colOff>
          <xdr:row>10</xdr:row>
          <xdr:rowOff>19050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600-00000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3</xdr:col>
          <xdr:colOff>0</xdr:colOff>
          <xdr:row>11</xdr:row>
          <xdr:rowOff>19050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600-00000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3</xdr:col>
          <xdr:colOff>0</xdr:colOff>
          <xdr:row>12</xdr:row>
          <xdr:rowOff>19050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600-00000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3</xdr:col>
          <xdr:colOff>0</xdr:colOff>
          <xdr:row>13</xdr:row>
          <xdr:rowOff>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600-00000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3</xdr:col>
          <xdr:colOff>0</xdr:colOff>
          <xdr:row>14</xdr:row>
          <xdr:rowOff>19050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600-00001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3</xdr:col>
          <xdr:colOff>0</xdr:colOff>
          <xdr:row>15</xdr:row>
          <xdr:rowOff>19050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600-00001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0</xdr:colOff>
          <xdr:row>16</xdr:row>
          <xdr:rowOff>19050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600-00001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3</xdr:col>
          <xdr:colOff>0</xdr:colOff>
          <xdr:row>17</xdr:row>
          <xdr:rowOff>19050</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600-00001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3</xdr:col>
          <xdr:colOff>0</xdr:colOff>
          <xdr:row>18</xdr:row>
          <xdr:rowOff>19050</xdr:rowOff>
        </xdr:to>
        <xdr:sp macro="" textlink="">
          <xdr:nvSpPr>
            <xdr:cNvPr id="59412" name="Check Box 20" hidden="1">
              <a:extLst>
                <a:ext uri="{63B3BB69-23CF-44E3-9099-C40C66FF867C}">
                  <a14:compatExt spid="_x0000_s59412"/>
                </a:ext>
                <a:ext uri="{FF2B5EF4-FFF2-40B4-BE49-F238E27FC236}">
                  <a16:creationId xmlns:a16="http://schemas.microsoft.com/office/drawing/2014/main" id="{00000000-0008-0000-0600-00001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3</xdr:col>
          <xdr:colOff>0</xdr:colOff>
          <xdr:row>19</xdr:row>
          <xdr:rowOff>19050</xdr:rowOff>
        </xdr:to>
        <xdr:sp macro="" textlink="">
          <xdr:nvSpPr>
            <xdr:cNvPr id="59413" name="Check Box 21" hidden="1">
              <a:extLst>
                <a:ext uri="{63B3BB69-23CF-44E3-9099-C40C66FF867C}">
                  <a14:compatExt spid="_x0000_s59413"/>
                </a:ext>
                <a:ext uri="{FF2B5EF4-FFF2-40B4-BE49-F238E27FC236}">
                  <a16:creationId xmlns:a16="http://schemas.microsoft.com/office/drawing/2014/main" id="{00000000-0008-0000-0600-00001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3</xdr:col>
          <xdr:colOff>0</xdr:colOff>
          <xdr:row>9</xdr:row>
          <xdr:rowOff>47625</xdr:rowOff>
        </xdr:to>
        <xdr:sp macro="" textlink="">
          <xdr:nvSpPr>
            <xdr:cNvPr id="72857" name="Check Box 153" hidden="1">
              <a:extLst>
                <a:ext uri="{63B3BB69-23CF-44E3-9099-C40C66FF867C}">
                  <a14:compatExt spid="_x0000_s72857"/>
                </a:ext>
                <a:ext uri="{FF2B5EF4-FFF2-40B4-BE49-F238E27FC236}">
                  <a16:creationId xmlns:a16="http://schemas.microsoft.com/office/drawing/2014/main" id="{00000000-0008-0000-0700-000099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3</xdr:col>
          <xdr:colOff>0</xdr:colOff>
          <xdr:row>10</xdr:row>
          <xdr:rowOff>47625</xdr:rowOff>
        </xdr:to>
        <xdr:sp macro="" textlink="">
          <xdr:nvSpPr>
            <xdr:cNvPr id="72858" name="Check Box 154" hidden="1">
              <a:extLst>
                <a:ext uri="{63B3BB69-23CF-44E3-9099-C40C66FF867C}">
                  <a14:compatExt spid="_x0000_s72858"/>
                </a:ext>
                <a:ext uri="{FF2B5EF4-FFF2-40B4-BE49-F238E27FC236}">
                  <a16:creationId xmlns:a16="http://schemas.microsoft.com/office/drawing/2014/main" id="{00000000-0008-0000-0700-00009A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3</xdr:col>
          <xdr:colOff>0</xdr:colOff>
          <xdr:row>11</xdr:row>
          <xdr:rowOff>0</xdr:rowOff>
        </xdr:to>
        <xdr:sp macro="" textlink="">
          <xdr:nvSpPr>
            <xdr:cNvPr id="72859" name="Check Box 155" hidden="1">
              <a:extLst>
                <a:ext uri="{63B3BB69-23CF-44E3-9099-C40C66FF867C}">
                  <a14:compatExt spid="_x0000_s72859"/>
                </a:ext>
                <a:ext uri="{FF2B5EF4-FFF2-40B4-BE49-F238E27FC236}">
                  <a16:creationId xmlns:a16="http://schemas.microsoft.com/office/drawing/2014/main" id="{00000000-0008-0000-0700-00009B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3</xdr:col>
          <xdr:colOff>0</xdr:colOff>
          <xdr:row>12</xdr:row>
          <xdr:rowOff>47625</xdr:rowOff>
        </xdr:to>
        <xdr:sp macro="" textlink="">
          <xdr:nvSpPr>
            <xdr:cNvPr id="72860" name="Check Box 156" hidden="1">
              <a:extLst>
                <a:ext uri="{63B3BB69-23CF-44E3-9099-C40C66FF867C}">
                  <a14:compatExt spid="_x0000_s72860"/>
                </a:ext>
                <a:ext uri="{FF2B5EF4-FFF2-40B4-BE49-F238E27FC236}">
                  <a16:creationId xmlns:a16="http://schemas.microsoft.com/office/drawing/2014/main" id="{00000000-0008-0000-0700-00009C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3</xdr:col>
          <xdr:colOff>0</xdr:colOff>
          <xdr:row>13</xdr:row>
          <xdr:rowOff>0</xdr:rowOff>
        </xdr:to>
        <xdr:sp macro="" textlink="">
          <xdr:nvSpPr>
            <xdr:cNvPr id="72861" name="Check Box 157" hidden="1">
              <a:extLst>
                <a:ext uri="{63B3BB69-23CF-44E3-9099-C40C66FF867C}">
                  <a14:compatExt spid="_x0000_s72861"/>
                </a:ext>
                <a:ext uri="{FF2B5EF4-FFF2-40B4-BE49-F238E27FC236}">
                  <a16:creationId xmlns:a16="http://schemas.microsoft.com/office/drawing/2014/main" id="{00000000-0008-0000-0700-00009D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3</xdr:col>
          <xdr:colOff>0</xdr:colOff>
          <xdr:row>14</xdr:row>
          <xdr:rowOff>0</xdr:rowOff>
        </xdr:to>
        <xdr:sp macro="" textlink="">
          <xdr:nvSpPr>
            <xdr:cNvPr id="72862" name="Check Box 158" hidden="1">
              <a:extLst>
                <a:ext uri="{63B3BB69-23CF-44E3-9099-C40C66FF867C}">
                  <a14:compatExt spid="_x0000_s72862"/>
                </a:ext>
                <a:ext uri="{FF2B5EF4-FFF2-40B4-BE49-F238E27FC236}">
                  <a16:creationId xmlns:a16="http://schemas.microsoft.com/office/drawing/2014/main" id="{00000000-0008-0000-0700-00009E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3</xdr:col>
          <xdr:colOff>0</xdr:colOff>
          <xdr:row>15</xdr:row>
          <xdr:rowOff>47625</xdr:rowOff>
        </xdr:to>
        <xdr:sp macro="" textlink="">
          <xdr:nvSpPr>
            <xdr:cNvPr id="72863" name="Check Box 159" hidden="1">
              <a:extLst>
                <a:ext uri="{63B3BB69-23CF-44E3-9099-C40C66FF867C}">
                  <a14:compatExt spid="_x0000_s72863"/>
                </a:ext>
                <a:ext uri="{FF2B5EF4-FFF2-40B4-BE49-F238E27FC236}">
                  <a16:creationId xmlns:a16="http://schemas.microsoft.com/office/drawing/2014/main" id="{00000000-0008-0000-0700-00009F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0</xdr:colOff>
          <xdr:row>16</xdr:row>
          <xdr:rowOff>0</xdr:rowOff>
        </xdr:to>
        <xdr:sp macro="" textlink="">
          <xdr:nvSpPr>
            <xdr:cNvPr id="72864" name="Check Box 160" hidden="1">
              <a:extLst>
                <a:ext uri="{63B3BB69-23CF-44E3-9099-C40C66FF867C}">
                  <a14:compatExt spid="_x0000_s72864"/>
                </a:ext>
                <a:ext uri="{FF2B5EF4-FFF2-40B4-BE49-F238E27FC236}">
                  <a16:creationId xmlns:a16="http://schemas.microsoft.com/office/drawing/2014/main" id="{00000000-0008-0000-0700-0000A0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3</xdr:col>
          <xdr:colOff>0</xdr:colOff>
          <xdr:row>17</xdr:row>
          <xdr:rowOff>47625</xdr:rowOff>
        </xdr:to>
        <xdr:sp macro="" textlink="">
          <xdr:nvSpPr>
            <xdr:cNvPr id="72865" name="Check Box 161" hidden="1">
              <a:extLst>
                <a:ext uri="{63B3BB69-23CF-44E3-9099-C40C66FF867C}">
                  <a14:compatExt spid="_x0000_s72865"/>
                </a:ext>
                <a:ext uri="{FF2B5EF4-FFF2-40B4-BE49-F238E27FC236}">
                  <a16:creationId xmlns:a16="http://schemas.microsoft.com/office/drawing/2014/main" id="{00000000-0008-0000-0700-0000A1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3</xdr:col>
          <xdr:colOff>0</xdr:colOff>
          <xdr:row>18</xdr:row>
          <xdr:rowOff>47625</xdr:rowOff>
        </xdr:to>
        <xdr:sp macro="" textlink="">
          <xdr:nvSpPr>
            <xdr:cNvPr id="72866" name="Check Box 162" hidden="1">
              <a:extLst>
                <a:ext uri="{63B3BB69-23CF-44E3-9099-C40C66FF867C}">
                  <a14:compatExt spid="_x0000_s72866"/>
                </a:ext>
                <a:ext uri="{FF2B5EF4-FFF2-40B4-BE49-F238E27FC236}">
                  <a16:creationId xmlns:a16="http://schemas.microsoft.com/office/drawing/2014/main" id="{00000000-0008-0000-0700-0000A2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3</xdr:col>
          <xdr:colOff>0</xdr:colOff>
          <xdr:row>19</xdr:row>
          <xdr:rowOff>47625</xdr:rowOff>
        </xdr:to>
        <xdr:sp macro="" textlink="">
          <xdr:nvSpPr>
            <xdr:cNvPr id="72867" name="Check Box 163" hidden="1">
              <a:extLst>
                <a:ext uri="{63B3BB69-23CF-44E3-9099-C40C66FF867C}">
                  <a14:compatExt spid="_x0000_s72867"/>
                </a:ext>
                <a:ext uri="{FF2B5EF4-FFF2-40B4-BE49-F238E27FC236}">
                  <a16:creationId xmlns:a16="http://schemas.microsoft.com/office/drawing/2014/main" id="{00000000-0008-0000-0700-0000A3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3</xdr:col>
          <xdr:colOff>0</xdr:colOff>
          <xdr:row>20</xdr:row>
          <xdr:rowOff>47625</xdr:rowOff>
        </xdr:to>
        <xdr:sp macro="" textlink="">
          <xdr:nvSpPr>
            <xdr:cNvPr id="72868" name="Check Box 164" hidden="1">
              <a:extLst>
                <a:ext uri="{63B3BB69-23CF-44E3-9099-C40C66FF867C}">
                  <a14:compatExt spid="_x0000_s72868"/>
                </a:ext>
                <a:ext uri="{FF2B5EF4-FFF2-40B4-BE49-F238E27FC236}">
                  <a16:creationId xmlns:a16="http://schemas.microsoft.com/office/drawing/2014/main" id="{00000000-0008-0000-0700-0000A4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3</xdr:col>
          <xdr:colOff>0</xdr:colOff>
          <xdr:row>21</xdr:row>
          <xdr:rowOff>47625</xdr:rowOff>
        </xdr:to>
        <xdr:sp macro="" textlink="">
          <xdr:nvSpPr>
            <xdr:cNvPr id="72869" name="Check Box 165" hidden="1">
              <a:extLst>
                <a:ext uri="{63B3BB69-23CF-44E3-9099-C40C66FF867C}">
                  <a14:compatExt spid="_x0000_s72869"/>
                </a:ext>
                <a:ext uri="{FF2B5EF4-FFF2-40B4-BE49-F238E27FC236}">
                  <a16:creationId xmlns:a16="http://schemas.microsoft.com/office/drawing/2014/main" id="{00000000-0008-0000-0700-0000A5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3</xdr:col>
          <xdr:colOff>0</xdr:colOff>
          <xdr:row>22</xdr:row>
          <xdr:rowOff>0</xdr:rowOff>
        </xdr:to>
        <xdr:sp macro="" textlink="">
          <xdr:nvSpPr>
            <xdr:cNvPr id="72870" name="Check Box 166" hidden="1">
              <a:extLst>
                <a:ext uri="{63B3BB69-23CF-44E3-9099-C40C66FF867C}">
                  <a14:compatExt spid="_x0000_s72870"/>
                </a:ext>
                <a:ext uri="{FF2B5EF4-FFF2-40B4-BE49-F238E27FC236}">
                  <a16:creationId xmlns:a16="http://schemas.microsoft.com/office/drawing/2014/main" id="{00000000-0008-0000-0700-0000A6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3</xdr:col>
          <xdr:colOff>0</xdr:colOff>
          <xdr:row>23</xdr:row>
          <xdr:rowOff>0</xdr:rowOff>
        </xdr:to>
        <xdr:sp macro="" textlink="">
          <xdr:nvSpPr>
            <xdr:cNvPr id="72871" name="Check Box 167" hidden="1">
              <a:extLst>
                <a:ext uri="{63B3BB69-23CF-44E3-9099-C40C66FF867C}">
                  <a14:compatExt spid="_x0000_s72871"/>
                </a:ext>
                <a:ext uri="{FF2B5EF4-FFF2-40B4-BE49-F238E27FC236}">
                  <a16:creationId xmlns:a16="http://schemas.microsoft.com/office/drawing/2014/main" id="{00000000-0008-0000-0700-0000A7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3</xdr:col>
          <xdr:colOff>0</xdr:colOff>
          <xdr:row>24</xdr:row>
          <xdr:rowOff>47625</xdr:rowOff>
        </xdr:to>
        <xdr:sp macro="" textlink="">
          <xdr:nvSpPr>
            <xdr:cNvPr id="72872" name="Check Box 168" hidden="1">
              <a:extLst>
                <a:ext uri="{63B3BB69-23CF-44E3-9099-C40C66FF867C}">
                  <a14:compatExt spid="_x0000_s72872"/>
                </a:ext>
                <a:ext uri="{FF2B5EF4-FFF2-40B4-BE49-F238E27FC236}">
                  <a16:creationId xmlns:a16="http://schemas.microsoft.com/office/drawing/2014/main" id="{00000000-0008-0000-0700-0000A8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3</xdr:col>
          <xdr:colOff>0</xdr:colOff>
          <xdr:row>25</xdr:row>
          <xdr:rowOff>47625</xdr:rowOff>
        </xdr:to>
        <xdr:sp macro="" textlink="">
          <xdr:nvSpPr>
            <xdr:cNvPr id="72873" name="Check Box 169" hidden="1">
              <a:extLst>
                <a:ext uri="{63B3BB69-23CF-44E3-9099-C40C66FF867C}">
                  <a14:compatExt spid="_x0000_s72873"/>
                </a:ext>
                <a:ext uri="{FF2B5EF4-FFF2-40B4-BE49-F238E27FC236}">
                  <a16:creationId xmlns:a16="http://schemas.microsoft.com/office/drawing/2014/main" id="{00000000-0008-0000-0700-0000A9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3</xdr:col>
          <xdr:colOff>0</xdr:colOff>
          <xdr:row>26</xdr:row>
          <xdr:rowOff>47625</xdr:rowOff>
        </xdr:to>
        <xdr:sp macro="" textlink="">
          <xdr:nvSpPr>
            <xdr:cNvPr id="72874" name="Check Box 170" hidden="1">
              <a:extLst>
                <a:ext uri="{63B3BB69-23CF-44E3-9099-C40C66FF867C}">
                  <a14:compatExt spid="_x0000_s72874"/>
                </a:ext>
                <a:ext uri="{FF2B5EF4-FFF2-40B4-BE49-F238E27FC236}">
                  <a16:creationId xmlns:a16="http://schemas.microsoft.com/office/drawing/2014/main" id="{00000000-0008-0000-0700-0000AA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3</xdr:col>
          <xdr:colOff>0</xdr:colOff>
          <xdr:row>27</xdr:row>
          <xdr:rowOff>47625</xdr:rowOff>
        </xdr:to>
        <xdr:sp macro="" textlink="">
          <xdr:nvSpPr>
            <xdr:cNvPr id="72875" name="Check Box 171" hidden="1">
              <a:extLst>
                <a:ext uri="{63B3BB69-23CF-44E3-9099-C40C66FF867C}">
                  <a14:compatExt spid="_x0000_s72875"/>
                </a:ext>
                <a:ext uri="{FF2B5EF4-FFF2-40B4-BE49-F238E27FC236}">
                  <a16:creationId xmlns:a16="http://schemas.microsoft.com/office/drawing/2014/main" id="{00000000-0008-0000-0700-0000AB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3</xdr:col>
          <xdr:colOff>0</xdr:colOff>
          <xdr:row>28</xdr:row>
          <xdr:rowOff>47625</xdr:rowOff>
        </xdr:to>
        <xdr:sp macro="" textlink="">
          <xdr:nvSpPr>
            <xdr:cNvPr id="72876" name="Check Box 172" hidden="1">
              <a:extLst>
                <a:ext uri="{63B3BB69-23CF-44E3-9099-C40C66FF867C}">
                  <a14:compatExt spid="_x0000_s72876"/>
                </a:ext>
                <a:ext uri="{FF2B5EF4-FFF2-40B4-BE49-F238E27FC236}">
                  <a16:creationId xmlns:a16="http://schemas.microsoft.com/office/drawing/2014/main" id="{00000000-0008-0000-0700-0000AC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3</xdr:col>
          <xdr:colOff>0</xdr:colOff>
          <xdr:row>29</xdr:row>
          <xdr:rowOff>47625</xdr:rowOff>
        </xdr:to>
        <xdr:sp macro="" textlink="">
          <xdr:nvSpPr>
            <xdr:cNvPr id="72877" name="Check Box 173" hidden="1">
              <a:extLst>
                <a:ext uri="{63B3BB69-23CF-44E3-9099-C40C66FF867C}">
                  <a14:compatExt spid="_x0000_s72877"/>
                </a:ext>
                <a:ext uri="{FF2B5EF4-FFF2-40B4-BE49-F238E27FC236}">
                  <a16:creationId xmlns:a16="http://schemas.microsoft.com/office/drawing/2014/main" id="{00000000-0008-0000-0700-0000AD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3</xdr:col>
          <xdr:colOff>0</xdr:colOff>
          <xdr:row>9</xdr:row>
          <xdr:rowOff>47625</xdr:rowOff>
        </xdr:to>
        <xdr:sp macro="" textlink="">
          <xdr:nvSpPr>
            <xdr:cNvPr id="12205" name="Check Box 941" hidden="1">
              <a:extLst>
                <a:ext uri="{63B3BB69-23CF-44E3-9099-C40C66FF867C}">
                  <a14:compatExt spid="_x0000_s12205"/>
                </a:ext>
                <a:ext uri="{FF2B5EF4-FFF2-40B4-BE49-F238E27FC236}">
                  <a16:creationId xmlns:a16="http://schemas.microsoft.com/office/drawing/2014/main" id="{00000000-0008-0000-0900-0000A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3</xdr:col>
          <xdr:colOff>0</xdr:colOff>
          <xdr:row>10</xdr:row>
          <xdr:rowOff>47625</xdr:rowOff>
        </xdr:to>
        <xdr:sp macro="" textlink="">
          <xdr:nvSpPr>
            <xdr:cNvPr id="12206" name="Check Box 942" hidden="1">
              <a:extLst>
                <a:ext uri="{63B3BB69-23CF-44E3-9099-C40C66FF867C}">
                  <a14:compatExt spid="_x0000_s12206"/>
                </a:ext>
                <a:ext uri="{FF2B5EF4-FFF2-40B4-BE49-F238E27FC236}">
                  <a16:creationId xmlns:a16="http://schemas.microsoft.com/office/drawing/2014/main" id="{00000000-0008-0000-0900-0000A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3</xdr:col>
          <xdr:colOff>0</xdr:colOff>
          <xdr:row>11</xdr:row>
          <xdr:rowOff>47625</xdr:rowOff>
        </xdr:to>
        <xdr:sp macro="" textlink="">
          <xdr:nvSpPr>
            <xdr:cNvPr id="12207" name="Check Box 943" hidden="1">
              <a:extLst>
                <a:ext uri="{63B3BB69-23CF-44E3-9099-C40C66FF867C}">
                  <a14:compatExt spid="_x0000_s12207"/>
                </a:ext>
                <a:ext uri="{FF2B5EF4-FFF2-40B4-BE49-F238E27FC236}">
                  <a16:creationId xmlns:a16="http://schemas.microsoft.com/office/drawing/2014/main" id="{00000000-0008-0000-0900-0000A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3</xdr:col>
          <xdr:colOff>0</xdr:colOff>
          <xdr:row>12</xdr:row>
          <xdr:rowOff>47625</xdr:rowOff>
        </xdr:to>
        <xdr:sp macro="" textlink="">
          <xdr:nvSpPr>
            <xdr:cNvPr id="12208" name="Check Box 944" hidden="1">
              <a:extLst>
                <a:ext uri="{63B3BB69-23CF-44E3-9099-C40C66FF867C}">
                  <a14:compatExt spid="_x0000_s12208"/>
                </a:ext>
                <a:ext uri="{FF2B5EF4-FFF2-40B4-BE49-F238E27FC236}">
                  <a16:creationId xmlns:a16="http://schemas.microsoft.com/office/drawing/2014/main" id="{00000000-0008-0000-0900-0000B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3</xdr:col>
          <xdr:colOff>0</xdr:colOff>
          <xdr:row>13</xdr:row>
          <xdr:rowOff>47625</xdr:rowOff>
        </xdr:to>
        <xdr:sp macro="" textlink="">
          <xdr:nvSpPr>
            <xdr:cNvPr id="12209" name="Check Box 945" hidden="1">
              <a:extLst>
                <a:ext uri="{63B3BB69-23CF-44E3-9099-C40C66FF867C}">
                  <a14:compatExt spid="_x0000_s12209"/>
                </a:ext>
                <a:ext uri="{FF2B5EF4-FFF2-40B4-BE49-F238E27FC236}">
                  <a16:creationId xmlns:a16="http://schemas.microsoft.com/office/drawing/2014/main" id="{00000000-0008-0000-0900-0000B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3</xdr:col>
          <xdr:colOff>0</xdr:colOff>
          <xdr:row>14</xdr:row>
          <xdr:rowOff>47625</xdr:rowOff>
        </xdr:to>
        <xdr:sp macro="" textlink="">
          <xdr:nvSpPr>
            <xdr:cNvPr id="12210" name="Check Box 946" hidden="1">
              <a:extLst>
                <a:ext uri="{63B3BB69-23CF-44E3-9099-C40C66FF867C}">
                  <a14:compatExt spid="_x0000_s12210"/>
                </a:ext>
                <a:ext uri="{FF2B5EF4-FFF2-40B4-BE49-F238E27FC236}">
                  <a16:creationId xmlns:a16="http://schemas.microsoft.com/office/drawing/2014/main" id="{00000000-0008-0000-0900-0000B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3</xdr:col>
          <xdr:colOff>0</xdr:colOff>
          <xdr:row>15</xdr:row>
          <xdr:rowOff>47625</xdr:rowOff>
        </xdr:to>
        <xdr:sp macro="" textlink="">
          <xdr:nvSpPr>
            <xdr:cNvPr id="12211" name="Check Box 947" hidden="1">
              <a:extLst>
                <a:ext uri="{63B3BB69-23CF-44E3-9099-C40C66FF867C}">
                  <a14:compatExt spid="_x0000_s12211"/>
                </a:ext>
                <a:ext uri="{FF2B5EF4-FFF2-40B4-BE49-F238E27FC236}">
                  <a16:creationId xmlns:a16="http://schemas.microsoft.com/office/drawing/2014/main" id="{00000000-0008-0000-0900-0000B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0</xdr:colOff>
          <xdr:row>16</xdr:row>
          <xdr:rowOff>47625</xdr:rowOff>
        </xdr:to>
        <xdr:sp macro="" textlink="">
          <xdr:nvSpPr>
            <xdr:cNvPr id="12212" name="Check Box 948" hidden="1">
              <a:extLst>
                <a:ext uri="{63B3BB69-23CF-44E3-9099-C40C66FF867C}">
                  <a14:compatExt spid="_x0000_s12212"/>
                </a:ext>
                <a:ext uri="{FF2B5EF4-FFF2-40B4-BE49-F238E27FC236}">
                  <a16:creationId xmlns:a16="http://schemas.microsoft.com/office/drawing/2014/main" id="{00000000-0008-0000-0900-0000B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3</xdr:col>
          <xdr:colOff>0</xdr:colOff>
          <xdr:row>17</xdr:row>
          <xdr:rowOff>47625</xdr:rowOff>
        </xdr:to>
        <xdr:sp macro="" textlink="">
          <xdr:nvSpPr>
            <xdr:cNvPr id="12213" name="Check Box 949" hidden="1">
              <a:extLst>
                <a:ext uri="{63B3BB69-23CF-44E3-9099-C40C66FF867C}">
                  <a14:compatExt spid="_x0000_s12213"/>
                </a:ext>
                <a:ext uri="{FF2B5EF4-FFF2-40B4-BE49-F238E27FC236}">
                  <a16:creationId xmlns:a16="http://schemas.microsoft.com/office/drawing/2014/main" id="{00000000-0008-0000-0900-0000B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3</xdr:col>
          <xdr:colOff>0</xdr:colOff>
          <xdr:row>18</xdr:row>
          <xdr:rowOff>47625</xdr:rowOff>
        </xdr:to>
        <xdr:sp macro="" textlink="">
          <xdr:nvSpPr>
            <xdr:cNvPr id="12214" name="Check Box 950" hidden="1">
              <a:extLst>
                <a:ext uri="{63B3BB69-23CF-44E3-9099-C40C66FF867C}">
                  <a14:compatExt spid="_x0000_s12214"/>
                </a:ext>
                <a:ext uri="{FF2B5EF4-FFF2-40B4-BE49-F238E27FC236}">
                  <a16:creationId xmlns:a16="http://schemas.microsoft.com/office/drawing/2014/main" id="{00000000-0008-0000-0900-0000B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3</xdr:col>
          <xdr:colOff>0</xdr:colOff>
          <xdr:row>19</xdr:row>
          <xdr:rowOff>47625</xdr:rowOff>
        </xdr:to>
        <xdr:sp macro="" textlink="">
          <xdr:nvSpPr>
            <xdr:cNvPr id="12215" name="Check Box 951" hidden="1">
              <a:extLst>
                <a:ext uri="{63B3BB69-23CF-44E3-9099-C40C66FF867C}">
                  <a14:compatExt spid="_x0000_s12215"/>
                </a:ext>
                <a:ext uri="{FF2B5EF4-FFF2-40B4-BE49-F238E27FC236}">
                  <a16:creationId xmlns:a16="http://schemas.microsoft.com/office/drawing/2014/main" id="{00000000-0008-0000-0900-0000B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3</xdr:col>
          <xdr:colOff>0</xdr:colOff>
          <xdr:row>20</xdr:row>
          <xdr:rowOff>47625</xdr:rowOff>
        </xdr:to>
        <xdr:sp macro="" textlink="">
          <xdr:nvSpPr>
            <xdr:cNvPr id="12216" name="Check Box 952" hidden="1">
              <a:extLst>
                <a:ext uri="{63B3BB69-23CF-44E3-9099-C40C66FF867C}">
                  <a14:compatExt spid="_x0000_s12216"/>
                </a:ext>
                <a:ext uri="{FF2B5EF4-FFF2-40B4-BE49-F238E27FC236}">
                  <a16:creationId xmlns:a16="http://schemas.microsoft.com/office/drawing/2014/main" id="{00000000-0008-0000-0900-0000B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3</xdr:col>
          <xdr:colOff>0</xdr:colOff>
          <xdr:row>21</xdr:row>
          <xdr:rowOff>47625</xdr:rowOff>
        </xdr:to>
        <xdr:sp macro="" textlink="">
          <xdr:nvSpPr>
            <xdr:cNvPr id="12217" name="Check Box 953" hidden="1">
              <a:extLst>
                <a:ext uri="{63B3BB69-23CF-44E3-9099-C40C66FF867C}">
                  <a14:compatExt spid="_x0000_s12217"/>
                </a:ext>
                <a:ext uri="{FF2B5EF4-FFF2-40B4-BE49-F238E27FC236}">
                  <a16:creationId xmlns:a16="http://schemas.microsoft.com/office/drawing/2014/main" id="{00000000-0008-0000-0900-0000B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3</xdr:col>
          <xdr:colOff>0</xdr:colOff>
          <xdr:row>22</xdr:row>
          <xdr:rowOff>47625</xdr:rowOff>
        </xdr:to>
        <xdr:sp macro="" textlink="">
          <xdr:nvSpPr>
            <xdr:cNvPr id="12218" name="Check Box 954" hidden="1">
              <a:extLst>
                <a:ext uri="{63B3BB69-23CF-44E3-9099-C40C66FF867C}">
                  <a14:compatExt spid="_x0000_s12218"/>
                </a:ext>
                <a:ext uri="{FF2B5EF4-FFF2-40B4-BE49-F238E27FC236}">
                  <a16:creationId xmlns:a16="http://schemas.microsoft.com/office/drawing/2014/main" id="{00000000-0008-0000-0900-0000B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3</xdr:col>
          <xdr:colOff>0</xdr:colOff>
          <xdr:row>23</xdr:row>
          <xdr:rowOff>47625</xdr:rowOff>
        </xdr:to>
        <xdr:sp macro="" textlink="">
          <xdr:nvSpPr>
            <xdr:cNvPr id="12219" name="Check Box 955" hidden="1">
              <a:extLst>
                <a:ext uri="{63B3BB69-23CF-44E3-9099-C40C66FF867C}">
                  <a14:compatExt spid="_x0000_s12219"/>
                </a:ext>
                <a:ext uri="{FF2B5EF4-FFF2-40B4-BE49-F238E27FC236}">
                  <a16:creationId xmlns:a16="http://schemas.microsoft.com/office/drawing/2014/main" id="{00000000-0008-0000-0900-0000B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3</xdr:col>
          <xdr:colOff>0</xdr:colOff>
          <xdr:row>24</xdr:row>
          <xdr:rowOff>47625</xdr:rowOff>
        </xdr:to>
        <xdr:sp macro="" textlink="">
          <xdr:nvSpPr>
            <xdr:cNvPr id="12220" name="Check Box 956" hidden="1">
              <a:extLst>
                <a:ext uri="{63B3BB69-23CF-44E3-9099-C40C66FF867C}">
                  <a14:compatExt spid="_x0000_s12220"/>
                </a:ext>
                <a:ext uri="{FF2B5EF4-FFF2-40B4-BE49-F238E27FC236}">
                  <a16:creationId xmlns:a16="http://schemas.microsoft.com/office/drawing/2014/main" id="{00000000-0008-0000-0900-0000B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3</xdr:col>
          <xdr:colOff>0</xdr:colOff>
          <xdr:row>25</xdr:row>
          <xdr:rowOff>47625</xdr:rowOff>
        </xdr:to>
        <xdr:sp macro="" textlink="">
          <xdr:nvSpPr>
            <xdr:cNvPr id="12221" name="Check Box 957" hidden="1">
              <a:extLst>
                <a:ext uri="{63B3BB69-23CF-44E3-9099-C40C66FF867C}">
                  <a14:compatExt spid="_x0000_s12221"/>
                </a:ext>
                <a:ext uri="{FF2B5EF4-FFF2-40B4-BE49-F238E27FC236}">
                  <a16:creationId xmlns:a16="http://schemas.microsoft.com/office/drawing/2014/main" id="{00000000-0008-0000-0900-0000B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3</xdr:col>
          <xdr:colOff>0</xdr:colOff>
          <xdr:row>26</xdr:row>
          <xdr:rowOff>47625</xdr:rowOff>
        </xdr:to>
        <xdr:sp macro="" textlink="">
          <xdr:nvSpPr>
            <xdr:cNvPr id="12222" name="Check Box 958" hidden="1">
              <a:extLst>
                <a:ext uri="{63B3BB69-23CF-44E3-9099-C40C66FF867C}">
                  <a14:compatExt spid="_x0000_s12222"/>
                </a:ext>
                <a:ext uri="{FF2B5EF4-FFF2-40B4-BE49-F238E27FC236}">
                  <a16:creationId xmlns:a16="http://schemas.microsoft.com/office/drawing/2014/main" id="{00000000-0008-0000-0900-0000B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3</xdr:col>
          <xdr:colOff>0</xdr:colOff>
          <xdr:row>27</xdr:row>
          <xdr:rowOff>47625</xdr:rowOff>
        </xdr:to>
        <xdr:sp macro="" textlink="">
          <xdr:nvSpPr>
            <xdr:cNvPr id="12223" name="Check Box 959" hidden="1">
              <a:extLst>
                <a:ext uri="{63B3BB69-23CF-44E3-9099-C40C66FF867C}">
                  <a14:compatExt spid="_x0000_s12223"/>
                </a:ext>
                <a:ext uri="{FF2B5EF4-FFF2-40B4-BE49-F238E27FC236}">
                  <a16:creationId xmlns:a16="http://schemas.microsoft.com/office/drawing/2014/main" id="{00000000-0008-0000-0900-0000B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3</xdr:col>
          <xdr:colOff>0</xdr:colOff>
          <xdr:row>28</xdr:row>
          <xdr:rowOff>47625</xdr:rowOff>
        </xdr:to>
        <xdr:sp macro="" textlink="">
          <xdr:nvSpPr>
            <xdr:cNvPr id="12224" name="Check Box 960" hidden="1">
              <a:extLst>
                <a:ext uri="{63B3BB69-23CF-44E3-9099-C40C66FF867C}">
                  <a14:compatExt spid="_x0000_s12224"/>
                </a:ext>
                <a:ext uri="{FF2B5EF4-FFF2-40B4-BE49-F238E27FC236}">
                  <a16:creationId xmlns:a16="http://schemas.microsoft.com/office/drawing/2014/main" id="{00000000-0008-0000-0900-0000C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3</xdr:col>
          <xdr:colOff>0</xdr:colOff>
          <xdr:row>29</xdr:row>
          <xdr:rowOff>47625</xdr:rowOff>
        </xdr:to>
        <xdr:sp macro="" textlink="">
          <xdr:nvSpPr>
            <xdr:cNvPr id="12225" name="Check Box 961" hidden="1">
              <a:extLst>
                <a:ext uri="{63B3BB69-23CF-44E3-9099-C40C66FF867C}">
                  <a14:compatExt spid="_x0000_s12225"/>
                </a:ext>
                <a:ext uri="{FF2B5EF4-FFF2-40B4-BE49-F238E27FC236}">
                  <a16:creationId xmlns:a16="http://schemas.microsoft.com/office/drawing/2014/main" id="{00000000-0008-0000-0900-0000C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3</xdr:col>
          <xdr:colOff>0</xdr:colOff>
          <xdr:row>30</xdr:row>
          <xdr:rowOff>47625</xdr:rowOff>
        </xdr:to>
        <xdr:sp macro="" textlink="">
          <xdr:nvSpPr>
            <xdr:cNvPr id="12226" name="Check Box 962" hidden="1">
              <a:extLst>
                <a:ext uri="{63B3BB69-23CF-44E3-9099-C40C66FF867C}">
                  <a14:compatExt spid="_x0000_s12226"/>
                </a:ext>
                <a:ext uri="{FF2B5EF4-FFF2-40B4-BE49-F238E27FC236}">
                  <a16:creationId xmlns:a16="http://schemas.microsoft.com/office/drawing/2014/main" id="{00000000-0008-0000-0900-0000C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3</xdr:col>
          <xdr:colOff>0</xdr:colOff>
          <xdr:row>31</xdr:row>
          <xdr:rowOff>47625</xdr:rowOff>
        </xdr:to>
        <xdr:sp macro="" textlink="">
          <xdr:nvSpPr>
            <xdr:cNvPr id="12227" name="Check Box 963" hidden="1">
              <a:extLst>
                <a:ext uri="{63B3BB69-23CF-44E3-9099-C40C66FF867C}">
                  <a14:compatExt spid="_x0000_s12227"/>
                </a:ext>
                <a:ext uri="{FF2B5EF4-FFF2-40B4-BE49-F238E27FC236}">
                  <a16:creationId xmlns:a16="http://schemas.microsoft.com/office/drawing/2014/main" id="{00000000-0008-0000-0900-0000C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3</xdr:col>
          <xdr:colOff>0</xdr:colOff>
          <xdr:row>32</xdr:row>
          <xdr:rowOff>47625</xdr:rowOff>
        </xdr:to>
        <xdr:sp macro="" textlink="">
          <xdr:nvSpPr>
            <xdr:cNvPr id="12228" name="Check Box 964" hidden="1">
              <a:extLst>
                <a:ext uri="{63B3BB69-23CF-44E3-9099-C40C66FF867C}">
                  <a14:compatExt spid="_x0000_s12228"/>
                </a:ext>
                <a:ext uri="{FF2B5EF4-FFF2-40B4-BE49-F238E27FC236}">
                  <a16:creationId xmlns:a16="http://schemas.microsoft.com/office/drawing/2014/main" id="{00000000-0008-0000-0900-0000C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3</xdr:col>
          <xdr:colOff>0</xdr:colOff>
          <xdr:row>33</xdr:row>
          <xdr:rowOff>47625</xdr:rowOff>
        </xdr:to>
        <xdr:sp macro="" textlink="">
          <xdr:nvSpPr>
            <xdr:cNvPr id="12229" name="Check Box 965" hidden="1">
              <a:extLst>
                <a:ext uri="{63B3BB69-23CF-44E3-9099-C40C66FF867C}">
                  <a14:compatExt spid="_x0000_s12229"/>
                </a:ext>
                <a:ext uri="{FF2B5EF4-FFF2-40B4-BE49-F238E27FC236}">
                  <a16:creationId xmlns:a16="http://schemas.microsoft.com/office/drawing/2014/main" id="{00000000-0008-0000-0900-0000C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3</xdr:col>
          <xdr:colOff>0</xdr:colOff>
          <xdr:row>34</xdr:row>
          <xdr:rowOff>47625</xdr:rowOff>
        </xdr:to>
        <xdr:sp macro="" textlink="">
          <xdr:nvSpPr>
            <xdr:cNvPr id="12230" name="Check Box 966" hidden="1">
              <a:extLst>
                <a:ext uri="{63B3BB69-23CF-44E3-9099-C40C66FF867C}">
                  <a14:compatExt spid="_x0000_s12230"/>
                </a:ext>
                <a:ext uri="{FF2B5EF4-FFF2-40B4-BE49-F238E27FC236}">
                  <a16:creationId xmlns:a16="http://schemas.microsoft.com/office/drawing/2014/main" id="{00000000-0008-0000-0900-0000C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3</xdr:col>
          <xdr:colOff>0</xdr:colOff>
          <xdr:row>35</xdr:row>
          <xdr:rowOff>47625</xdr:rowOff>
        </xdr:to>
        <xdr:sp macro="" textlink="">
          <xdr:nvSpPr>
            <xdr:cNvPr id="12231" name="Check Box 967" hidden="1">
              <a:extLst>
                <a:ext uri="{63B3BB69-23CF-44E3-9099-C40C66FF867C}">
                  <a14:compatExt spid="_x0000_s12231"/>
                </a:ext>
                <a:ext uri="{FF2B5EF4-FFF2-40B4-BE49-F238E27FC236}">
                  <a16:creationId xmlns:a16="http://schemas.microsoft.com/office/drawing/2014/main" id="{00000000-0008-0000-0900-0000C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3</xdr:col>
          <xdr:colOff>0</xdr:colOff>
          <xdr:row>36</xdr:row>
          <xdr:rowOff>47625</xdr:rowOff>
        </xdr:to>
        <xdr:sp macro="" textlink="">
          <xdr:nvSpPr>
            <xdr:cNvPr id="12232" name="Check Box 968" hidden="1">
              <a:extLst>
                <a:ext uri="{63B3BB69-23CF-44E3-9099-C40C66FF867C}">
                  <a14:compatExt spid="_x0000_s12232"/>
                </a:ext>
                <a:ext uri="{FF2B5EF4-FFF2-40B4-BE49-F238E27FC236}">
                  <a16:creationId xmlns:a16="http://schemas.microsoft.com/office/drawing/2014/main" id="{00000000-0008-0000-0900-0000C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3</xdr:col>
          <xdr:colOff>0</xdr:colOff>
          <xdr:row>37</xdr:row>
          <xdr:rowOff>47625</xdr:rowOff>
        </xdr:to>
        <xdr:sp macro="" textlink="">
          <xdr:nvSpPr>
            <xdr:cNvPr id="12233" name="Check Box 969" hidden="1">
              <a:extLst>
                <a:ext uri="{63B3BB69-23CF-44E3-9099-C40C66FF867C}">
                  <a14:compatExt spid="_x0000_s12233"/>
                </a:ext>
                <a:ext uri="{FF2B5EF4-FFF2-40B4-BE49-F238E27FC236}">
                  <a16:creationId xmlns:a16="http://schemas.microsoft.com/office/drawing/2014/main" id="{00000000-0008-0000-0900-0000C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3</xdr:col>
          <xdr:colOff>0</xdr:colOff>
          <xdr:row>38</xdr:row>
          <xdr:rowOff>47625</xdr:rowOff>
        </xdr:to>
        <xdr:sp macro="" textlink="">
          <xdr:nvSpPr>
            <xdr:cNvPr id="12234" name="Check Box 970" hidden="1">
              <a:extLst>
                <a:ext uri="{63B3BB69-23CF-44E3-9099-C40C66FF867C}">
                  <a14:compatExt spid="_x0000_s12234"/>
                </a:ext>
                <a:ext uri="{FF2B5EF4-FFF2-40B4-BE49-F238E27FC236}">
                  <a16:creationId xmlns:a16="http://schemas.microsoft.com/office/drawing/2014/main" id="{00000000-0008-0000-0900-0000C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3</xdr:col>
          <xdr:colOff>0</xdr:colOff>
          <xdr:row>39</xdr:row>
          <xdr:rowOff>52388</xdr:rowOff>
        </xdr:to>
        <xdr:sp macro="" textlink="">
          <xdr:nvSpPr>
            <xdr:cNvPr id="12235" name="Check Box 971" hidden="1">
              <a:extLst>
                <a:ext uri="{63B3BB69-23CF-44E3-9099-C40C66FF867C}">
                  <a14:compatExt spid="_x0000_s12235"/>
                </a:ext>
                <a:ext uri="{FF2B5EF4-FFF2-40B4-BE49-F238E27FC236}">
                  <a16:creationId xmlns:a16="http://schemas.microsoft.com/office/drawing/2014/main" id="{00000000-0008-0000-0900-0000C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0</xdr:colOff>
          <xdr:row>40</xdr:row>
          <xdr:rowOff>47625</xdr:rowOff>
        </xdr:to>
        <xdr:sp macro="" textlink="">
          <xdr:nvSpPr>
            <xdr:cNvPr id="12236" name="Check Box 972" hidden="1">
              <a:extLst>
                <a:ext uri="{63B3BB69-23CF-44E3-9099-C40C66FF867C}">
                  <a14:compatExt spid="_x0000_s12236"/>
                </a:ext>
                <a:ext uri="{FF2B5EF4-FFF2-40B4-BE49-F238E27FC236}">
                  <a16:creationId xmlns:a16="http://schemas.microsoft.com/office/drawing/2014/main" id="{00000000-0008-0000-0900-0000C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3</xdr:col>
          <xdr:colOff>0</xdr:colOff>
          <xdr:row>41</xdr:row>
          <xdr:rowOff>47625</xdr:rowOff>
        </xdr:to>
        <xdr:sp macro="" textlink="">
          <xdr:nvSpPr>
            <xdr:cNvPr id="12237" name="Check Box 973" hidden="1">
              <a:extLst>
                <a:ext uri="{63B3BB69-23CF-44E3-9099-C40C66FF867C}">
                  <a14:compatExt spid="_x0000_s12237"/>
                </a:ext>
                <a:ext uri="{FF2B5EF4-FFF2-40B4-BE49-F238E27FC236}">
                  <a16:creationId xmlns:a16="http://schemas.microsoft.com/office/drawing/2014/main" id="{00000000-0008-0000-0900-0000C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0</xdr:colOff>
          <xdr:row>42</xdr:row>
          <xdr:rowOff>47625</xdr:rowOff>
        </xdr:to>
        <xdr:sp macro="" textlink="">
          <xdr:nvSpPr>
            <xdr:cNvPr id="12238" name="Check Box 974" hidden="1">
              <a:extLst>
                <a:ext uri="{63B3BB69-23CF-44E3-9099-C40C66FF867C}">
                  <a14:compatExt spid="_x0000_s12238"/>
                </a:ext>
                <a:ext uri="{FF2B5EF4-FFF2-40B4-BE49-F238E27FC236}">
                  <a16:creationId xmlns:a16="http://schemas.microsoft.com/office/drawing/2014/main" id="{00000000-0008-0000-0900-0000C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3</xdr:col>
          <xdr:colOff>0</xdr:colOff>
          <xdr:row>43</xdr:row>
          <xdr:rowOff>47625</xdr:rowOff>
        </xdr:to>
        <xdr:sp macro="" textlink="">
          <xdr:nvSpPr>
            <xdr:cNvPr id="12239" name="Check Box 975" hidden="1">
              <a:extLst>
                <a:ext uri="{63B3BB69-23CF-44E3-9099-C40C66FF867C}">
                  <a14:compatExt spid="_x0000_s12239"/>
                </a:ext>
                <a:ext uri="{FF2B5EF4-FFF2-40B4-BE49-F238E27FC236}">
                  <a16:creationId xmlns:a16="http://schemas.microsoft.com/office/drawing/2014/main" id="{00000000-0008-0000-0900-0000C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0</xdr:colOff>
          <xdr:row>44</xdr:row>
          <xdr:rowOff>47625</xdr:rowOff>
        </xdr:to>
        <xdr:sp macro="" textlink="">
          <xdr:nvSpPr>
            <xdr:cNvPr id="12240" name="Check Box 976" hidden="1">
              <a:extLst>
                <a:ext uri="{63B3BB69-23CF-44E3-9099-C40C66FF867C}">
                  <a14:compatExt spid="_x0000_s12240"/>
                </a:ext>
                <a:ext uri="{FF2B5EF4-FFF2-40B4-BE49-F238E27FC236}">
                  <a16:creationId xmlns:a16="http://schemas.microsoft.com/office/drawing/2014/main" id="{00000000-0008-0000-0900-0000D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3</xdr:col>
          <xdr:colOff>0</xdr:colOff>
          <xdr:row>45</xdr:row>
          <xdr:rowOff>47625</xdr:rowOff>
        </xdr:to>
        <xdr:sp macro="" textlink="">
          <xdr:nvSpPr>
            <xdr:cNvPr id="12241" name="Check Box 977" hidden="1">
              <a:extLst>
                <a:ext uri="{63B3BB69-23CF-44E3-9099-C40C66FF867C}">
                  <a14:compatExt spid="_x0000_s12241"/>
                </a:ext>
                <a:ext uri="{FF2B5EF4-FFF2-40B4-BE49-F238E27FC236}">
                  <a16:creationId xmlns:a16="http://schemas.microsoft.com/office/drawing/2014/main" id="{00000000-0008-0000-0900-0000D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3</xdr:col>
          <xdr:colOff>0</xdr:colOff>
          <xdr:row>46</xdr:row>
          <xdr:rowOff>47625</xdr:rowOff>
        </xdr:to>
        <xdr:sp macro="" textlink="">
          <xdr:nvSpPr>
            <xdr:cNvPr id="12242" name="Check Box 978" hidden="1">
              <a:extLst>
                <a:ext uri="{63B3BB69-23CF-44E3-9099-C40C66FF867C}">
                  <a14:compatExt spid="_x0000_s12242"/>
                </a:ext>
                <a:ext uri="{FF2B5EF4-FFF2-40B4-BE49-F238E27FC236}">
                  <a16:creationId xmlns:a16="http://schemas.microsoft.com/office/drawing/2014/main" id="{00000000-0008-0000-0900-0000D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3</xdr:col>
          <xdr:colOff>0</xdr:colOff>
          <xdr:row>47</xdr:row>
          <xdr:rowOff>47625</xdr:rowOff>
        </xdr:to>
        <xdr:sp macro="" textlink="">
          <xdr:nvSpPr>
            <xdr:cNvPr id="12243" name="Check Box 979" hidden="1">
              <a:extLst>
                <a:ext uri="{63B3BB69-23CF-44E3-9099-C40C66FF867C}">
                  <a14:compatExt spid="_x0000_s12243"/>
                </a:ext>
                <a:ext uri="{FF2B5EF4-FFF2-40B4-BE49-F238E27FC236}">
                  <a16:creationId xmlns:a16="http://schemas.microsoft.com/office/drawing/2014/main" id="{00000000-0008-0000-0900-0000D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3</xdr:col>
          <xdr:colOff>0</xdr:colOff>
          <xdr:row>48</xdr:row>
          <xdr:rowOff>47625</xdr:rowOff>
        </xdr:to>
        <xdr:sp macro="" textlink="">
          <xdr:nvSpPr>
            <xdr:cNvPr id="12244" name="Check Box 980" hidden="1">
              <a:extLst>
                <a:ext uri="{63B3BB69-23CF-44E3-9099-C40C66FF867C}">
                  <a14:compatExt spid="_x0000_s12244"/>
                </a:ext>
                <a:ext uri="{FF2B5EF4-FFF2-40B4-BE49-F238E27FC236}">
                  <a16:creationId xmlns:a16="http://schemas.microsoft.com/office/drawing/2014/main" id="{00000000-0008-0000-0900-0000D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3</xdr:col>
          <xdr:colOff>0</xdr:colOff>
          <xdr:row>49</xdr:row>
          <xdr:rowOff>47625</xdr:rowOff>
        </xdr:to>
        <xdr:sp macro="" textlink="">
          <xdr:nvSpPr>
            <xdr:cNvPr id="12245" name="Check Box 981" hidden="1">
              <a:extLst>
                <a:ext uri="{63B3BB69-23CF-44E3-9099-C40C66FF867C}">
                  <a14:compatExt spid="_x0000_s12245"/>
                </a:ext>
                <a:ext uri="{FF2B5EF4-FFF2-40B4-BE49-F238E27FC236}">
                  <a16:creationId xmlns:a16="http://schemas.microsoft.com/office/drawing/2014/main" id="{00000000-0008-0000-0900-0000D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3</xdr:col>
          <xdr:colOff>0</xdr:colOff>
          <xdr:row>50</xdr:row>
          <xdr:rowOff>47625</xdr:rowOff>
        </xdr:to>
        <xdr:sp macro="" textlink="">
          <xdr:nvSpPr>
            <xdr:cNvPr id="12246" name="Check Box 982" hidden="1">
              <a:extLst>
                <a:ext uri="{63B3BB69-23CF-44E3-9099-C40C66FF867C}">
                  <a14:compatExt spid="_x0000_s12246"/>
                </a:ext>
                <a:ext uri="{FF2B5EF4-FFF2-40B4-BE49-F238E27FC236}">
                  <a16:creationId xmlns:a16="http://schemas.microsoft.com/office/drawing/2014/main" id="{00000000-0008-0000-0900-0000D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3</xdr:col>
          <xdr:colOff>0</xdr:colOff>
          <xdr:row>51</xdr:row>
          <xdr:rowOff>47625</xdr:rowOff>
        </xdr:to>
        <xdr:sp macro="" textlink="">
          <xdr:nvSpPr>
            <xdr:cNvPr id="12247" name="Check Box 983" hidden="1">
              <a:extLst>
                <a:ext uri="{63B3BB69-23CF-44E3-9099-C40C66FF867C}">
                  <a14:compatExt spid="_x0000_s12247"/>
                </a:ext>
                <a:ext uri="{FF2B5EF4-FFF2-40B4-BE49-F238E27FC236}">
                  <a16:creationId xmlns:a16="http://schemas.microsoft.com/office/drawing/2014/main" id="{00000000-0008-0000-0900-0000D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3</xdr:col>
          <xdr:colOff>0</xdr:colOff>
          <xdr:row>52</xdr:row>
          <xdr:rowOff>47625</xdr:rowOff>
        </xdr:to>
        <xdr:sp macro="" textlink="">
          <xdr:nvSpPr>
            <xdr:cNvPr id="12248" name="Check Box 984" hidden="1">
              <a:extLst>
                <a:ext uri="{63B3BB69-23CF-44E3-9099-C40C66FF867C}">
                  <a14:compatExt spid="_x0000_s12248"/>
                </a:ext>
                <a:ext uri="{FF2B5EF4-FFF2-40B4-BE49-F238E27FC236}">
                  <a16:creationId xmlns:a16="http://schemas.microsoft.com/office/drawing/2014/main" id="{00000000-0008-0000-0900-0000D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3</xdr:col>
          <xdr:colOff>0</xdr:colOff>
          <xdr:row>53</xdr:row>
          <xdr:rowOff>47625</xdr:rowOff>
        </xdr:to>
        <xdr:sp macro="" textlink="">
          <xdr:nvSpPr>
            <xdr:cNvPr id="12249" name="Check Box 985" hidden="1">
              <a:extLst>
                <a:ext uri="{63B3BB69-23CF-44E3-9099-C40C66FF867C}">
                  <a14:compatExt spid="_x0000_s12249"/>
                </a:ext>
                <a:ext uri="{FF2B5EF4-FFF2-40B4-BE49-F238E27FC236}">
                  <a16:creationId xmlns:a16="http://schemas.microsoft.com/office/drawing/2014/main" id="{00000000-0008-0000-0900-0000D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3</xdr:col>
          <xdr:colOff>0</xdr:colOff>
          <xdr:row>54</xdr:row>
          <xdr:rowOff>47625</xdr:rowOff>
        </xdr:to>
        <xdr:sp macro="" textlink="">
          <xdr:nvSpPr>
            <xdr:cNvPr id="12250" name="Check Box 986" hidden="1">
              <a:extLst>
                <a:ext uri="{63B3BB69-23CF-44E3-9099-C40C66FF867C}">
                  <a14:compatExt spid="_x0000_s12250"/>
                </a:ext>
                <a:ext uri="{FF2B5EF4-FFF2-40B4-BE49-F238E27FC236}">
                  <a16:creationId xmlns:a16="http://schemas.microsoft.com/office/drawing/2014/main" id="{00000000-0008-0000-0900-0000D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3</xdr:col>
          <xdr:colOff>0</xdr:colOff>
          <xdr:row>55</xdr:row>
          <xdr:rowOff>47625</xdr:rowOff>
        </xdr:to>
        <xdr:sp macro="" textlink="">
          <xdr:nvSpPr>
            <xdr:cNvPr id="12251" name="Check Box 987" hidden="1">
              <a:extLst>
                <a:ext uri="{63B3BB69-23CF-44E3-9099-C40C66FF867C}">
                  <a14:compatExt spid="_x0000_s12251"/>
                </a:ext>
                <a:ext uri="{FF2B5EF4-FFF2-40B4-BE49-F238E27FC236}">
                  <a16:creationId xmlns:a16="http://schemas.microsoft.com/office/drawing/2014/main" id="{00000000-0008-0000-0900-0000D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3</xdr:col>
          <xdr:colOff>0</xdr:colOff>
          <xdr:row>56</xdr:row>
          <xdr:rowOff>47625</xdr:rowOff>
        </xdr:to>
        <xdr:sp macro="" textlink="">
          <xdr:nvSpPr>
            <xdr:cNvPr id="12252" name="Check Box 988" hidden="1">
              <a:extLst>
                <a:ext uri="{63B3BB69-23CF-44E3-9099-C40C66FF867C}">
                  <a14:compatExt spid="_x0000_s12252"/>
                </a:ext>
                <a:ext uri="{FF2B5EF4-FFF2-40B4-BE49-F238E27FC236}">
                  <a16:creationId xmlns:a16="http://schemas.microsoft.com/office/drawing/2014/main" id="{00000000-0008-0000-0900-0000D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3</xdr:col>
          <xdr:colOff>0</xdr:colOff>
          <xdr:row>57</xdr:row>
          <xdr:rowOff>47625</xdr:rowOff>
        </xdr:to>
        <xdr:sp macro="" textlink="">
          <xdr:nvSpPr>
            <xdr:cNvPr id="12253" name="Check Box 989" hidden="1">
              <a:extLst>
                <a:ext uri="{63B3BB69-23CF-44E3-9099-C40C66FF867C}">
                  <a14:compatExt spid="_x0000_s12253"/>
                </a:ext>
                <a:ext uri="{FF2B5EF4-FFF2-40B4-BE49-F238E27FC236}">
                  <a16:creationId xmlns:a16="http://schemas.microsoft.com/office/drawing/2014/main" id="{00000000-0008-0000-0900-0000D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0</xdr:rowOff>
        </xdr:from>
        <xdr:to>
          <xdr:col>3</xdr:col>
          <xdr:colOff>0</xdr:colOff>
          <xdr:row>58</xdr:row>
          <xdr:rowOff>47625</xdr:rowOff>
        </xdr:to>
        <xdr:sp macro="" textlink="">
          <xdr:nvSpPr>
            <xdr:cNvPr id="12254" name="Check Box 990" hidden="1">
              <a:extLst>
                <a:ext uri="{63B3BB69-23CF-44E3-9099-C40C66FF867C}">
                  <a14:compatExt spid="_x0000_s12254"/>
                </a:ext>
                <a:ext uri="{FF2B5EF4-FFF2-40B4-BE49-F238E27FC236}">
                  <a16:creationId xmlns:a16="http://schemas.microsoft.com/office/drawing/2014/main" id="{00000000-0008-0000-0900-0000D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3</xdr:col>
          <xdr:colOff>0</xdr:colOff>
          <xdr:row>59</xdr:row>
          <xdr:rowOff>47625</xdr:rowOff>
        </xdr:to>
        <xdr:sp macro="" textlink="">
          <xdr:nvSpPr>
            <xdr:cNvPr id="12255" name="Check Box 991" hidden="1">
              <a:extLst>
                <a:ext uri="{63B3BB69-23CF-44E3-9099-C40C66FF867C}">
                  <a14:compatExt spid="_x0000_s12255"/>
                </a:ext>
                <a:ext uri="{FF2B5EF4-FFF2-40B4-BE49-F238E27FC236}">
                  <a16:creationId xmlns:a16="http://schemas.microsoft.com/office/drawing/2014/main" id="{00000000-0008-0000-0900-0000D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3</xdr:col>
          <xdr:colOff>0</xdr:colOff>
          <xdr:row>60</xdr:row>
          <xdr:rowOff>47625</xdr:rowOff>
        </xdr:to>
        <xdr:sp macro="" textlink="">
          <xdr:nvSpPr>
            <xdr:cNvPr id="12256" name="Check Box 992" hidden="1">
              <a:extLst>
                <a:ext uri="{63B3BB69-23CF-44E3-9099-C40C66FF867C}">
                  <a14:compatExt spid="_x0000_s12256"/>
                </a:ext>
                <a:ext uri="{FF2B5EF4-FFF2-40B4-BE49-F238E27FC236}">
                  <a16:creationId xmlns:a16="http://schemas.microsoft.com/office/drawing/2014/main" id="{00000000-0008-0000-0900-0000E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3</xdr:col>
          <xdr:colOff>0</xdr:colOff>
          <xdr:row>61</xdr:row>
          <xdr:rowOff>47625</xdr:rowOff>
        </xdr:to>
        <xdr:sp macro="" textlink="">
          <xdr:nvSpPr>
            <xdr:cNvPr id="12257" name="Check Box 993" hidden="1">
              <a:extLst>
                <a:ext uri="{63B3BB69-23CF-44E3-9099-C40C66FF867C}">
                  <a14:compatExt spid="_x0000_s12257"/>
                </a:ext>
                <a:ext uri="{FF2B5EF4-FFF2-40B4-BE49-F238E27FC236}">
                  <a16:creationId xmlns:a16="http://schemas.microsoft.com/office/drawing/2014/main" id="{00000000-0008-0000-0900-0000E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3</xdr:col>
          <xdr:colOff>0</xdr:colOff>
          <xdr:row>62</xdr:row>
          <xdr:rowOff>47625</xdr:rowOff>
        </xdr:to>
        <xdr:sp macro="" textlink="">
          <xdr:nvSpPr>
            <xdr:cNvPr id="12258" name="Check Box 994" hidden="1">
              <a:extLst>
                <a:ext uri="{63B3BB69-23CF-44E3-9099-C40C66FF867C}">
                  <a14:compatExt spid="_x0000_s12258"/>
                </a:ext>
                <a:ext uri="{FF2B5EF4-FFF2-40B4-BE49-F238E27FC236}">
                  <a16:creationId xmlns:a16="http://schemas.microsoft.com/office/drawing/2014/main" id="{00000000-0008-0000-0900-0000E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3</xdr:col>
          <xdr:colOff>0</xdr:colOff>
          <xdr:row>63</xdr:row>
          <xdr:rowOff>47625</xdr:rowOff>
        </xdr:to>
        <xdr:sp macro="" textlink="">
          <xdr:nvSpPr>
            <xdr:cNvPr id="12259" name="Check Box 995" hidden="1">
              <a:extLst>
                <a:ext uri="{63B3BB69-23CF-44E3-9099-C40C66FF867C}">
                  <a14:compatExt spid="_x0000_s12259"/>
                </a:ext>
                <a:ext uri="{FF2B5EF4-FFF2-40B4-BE49-F238E27FC236}">
                  <a16:creationId xmlns:a16="http://schemas.microsoft.com/office/drawing/2014/main" id="{00000000-0008-0000-0900-0000E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3</xdr:col>
          <xdr:colOff>0</xdr:colOff>
          <xdr:row>64</xdr:row>
          <xdr:rowOff>47625</xdr:rowOff>
        </xdr:to>
        <xdr:sp macro="" textlink="">
          <xdr:nvSpPr>
            <xdr:cNvPr id="12260" name="Check Box 996" hidden="1">
              <a:extLst>
                <a:ext uri="{63B3BB69-23CF-44E3-9099-C40C66FF867C}">
                  <a14:compatExt spid="_x0000_s12260"/>
                </a:ext>
                <a:ext uri="{FF2B5EF4-FFF2-40B4-BE49-F238E27FC236}">
                  <a16:creationId xmlns:a16="http://schemas.microsoft.com/office/drawing/2014/main" id="{00000000-0008-0000-0900-0000E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3</xdr:col>
          <xdr:colOff>0</xdr:colOff>
          <xdr:row>65</xdr:row>
          <xdr:rowOff>47625</xdr:rowOff>
        </xdr:to>
        <xdr:sp macro="" textlink="">
          <xdr:nvSpPr>
            <xdr:cNvPr id="12261" name="Check Box 997" hidden="1">
              <a:extLst>
                <a:ext uri="{63B3BB69-23CF-44E3-9099-C40C66FF867C}">
                  <a14:compatExt spid="_x0000_s12261"/>
                </a:ext>
                <a:ext uri="{FF2B5EF4-FFF2-40B4-BE49-F238E27FC236}">
                  <a16:creationId xmlns:a16="http://schemas.microsoft.com/office/drawing/2014/main" id="{00000000-0008-0000-0900-0000E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3</xdr:col>
          <xdr:colOff>0</xdr:colOff>
          <xdr:row>66</xdr:row>
          <xdr:rowOff>47625</xdr:rowOff>
        </xdr:to>
        <xdr:sp macro="" textlink="">
          <xdr:nvSpPr>
            <xdr:cNvPr id="12262" name="Check Box 998" hidden="1">
              <a:extLst>
                <a:ext uri="{63B3BB69-23CF-44E3-9099-C40C66FF867C}">
                  <a14:compatExt spid="_x0000_s12262"/>
                </a:ext>
                <a:ext uri="{FF2B5EF4-FFF2-40B4-BE49-F238E27FC236}">
                  <a16:creationId xmlns:a16="http://schemas.microsoft.com/office/drawing/2014/main" id="{00000000-0008-0000-0900-0000E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3</xdr:col>
          <xdr:colOff>0</xdr:colOff>
          <xdr:row>67</xdr:row>
          <xdr:rowOff>47625</xdr:rowOff>
        </xdr:to>
        <xdr:sp macro="" textlink="">
          <xdr:nvSpPr>
            <xdr:cNvPr id="12263" name="Check Box 999" hidden="1">
              <a:extLst>
                <a:ext uri="{63B3BB69-23CF-44E3-9099-C40C66FF867C}">
                  <a14:compatExt spid="_x0000_s12263"/>
                </a:ext>
                <a:ext uri="{FF2B5EF4-FFF2-40B4-BE49-F238E27FC236}">
                  <a16:creationId xmlns:a16="http://schemas.microsoft.com/office/drawing/2014/main" id="{00000000-0008-0000-0900-0000E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3</xdr:col>
          <xdr:colOff>0</xdr:colOff>
          <xdr:row>68</xdr:row>
          <xdr:rowOff>47625</xdr:rowOff>
        </xdr:to>
        <xdr:sp macro="" textlink="">
          <xdr:nvSpPr>
            <xdr:cNvPr id="12264" name="Check Box 1000" hidden="1">
              <a:extLst>
                <a:ext uri="{63B3BB69-23CF-44E3-9099-C40C66FF867C}">
                  <a14:compatExt spid="_x0000_s12264"/>
                </a:ext>
                <a:ext uri="{FF2B5EF4-FFF2-40B4-BE49-F238E27FC236}">
                  <a16:creationId xmlns:a16="http://schemas.microsoft.com/office/drawing/2014/main" id="{00000000-0008-0000-0900-0000E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3</xdr:col>
          <xdr:colOff>0</xdr:colOff>
          <xdr:row>69</xdr:row>
          <xdr:rowOff>47625</xdr:rowOff>
        </xdr:to>
        <xdr:sp macro="" textlink="">
          <xdr:nvSpPr>
            <xdr:cNvPr id="12265" name="Check Box 1001" hidden="1">
              <a:extLst>
                <a:ext uri="{63B3BB69-23CF-44E3-9099-C40C66FF867C}">
                  <a14:compatExt spid="_x0000_s12265"/>
                </a:ext>
                <a:ext uri="{FF2B5EF4-FFF2-40B4-BE49-F238E27FC236}">
                  <a16:creationId xmlns:a16="http://schemas.microsoft.com/office/drawing/2014/main" id="{00000000-0008-0000-0900-0000E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3</xdr:col>
          <xdr:colOff>0</xdr:colOff>
          <xdr:row>70</xdr:row>
          <xdr:rowOff>47625</xdr:rowOff>
        </xdr:to>
        <xdr:sp macro="" textlink="">
          <xdr:nvSpPr>
            <xdr:cNvPr id="12266" name="Check Box 1002" hidden="1">
              <a:extLst>
                <a:ext uri="{63B3BB69-23CF-44E3-9099-C40C66FF867C}">
                  <a14:compatExt spid="_x0000_s12266"/>
                </a:ext>
                <a:ext uri="{FF2B5EF4-FFF2-40B4-BE49-F238E27FC236}">
                  <a16:creationId xmlns:a16="http://schemas.microsoft.com/office/drawing/2014/main" id="{00000000-0008-0000-0900-0000E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3</xdr:col>
          <xdr:colOff>0</xdr:colOff>
          <xdr:row>71</xdr:row>
          <xdr:rowOff>47625</xdr:rowOff>
        </xdr:to>
        <xdr:sp macro="" textlink="">
          <xdr:nvSpPr>
            <xdr:cNvPr id="12267" name="Check Box 1003" hidden="1">
              <a:extLst>
                <a:ext uri="{63B3BB69-23CF-44E3-9099-C40C66FF867C}">
                  <a14:compatExt spid="_x0000_s12267"/>
                </a:ext>
                <a:ext uri="{FF2B5EF4-FFF2-40B4-BE49-F238E27FC236}">
                  <a16:creationId xmlns:a16="http://schemas.microsoft.com/office/drawing/2014/main" id="{00000000-0008-0000-0900-0000E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3</xdr:col>
          <xdr:colOff>0</xdr:colOff>
          <xdr:row>72</xdr:row>
          <xdr:rowOff>47625</xdr:rowOff>
        </xdr:to>
        <xdr:sp macro="" textlink="">
          <xdr:nvSpPr>
            <xdr:cNvPr id="12268" name="Check Box 1004" hidden="1">
              <a:extLst>
                <a:ext uri="{63B3BB69-23CF-44E3-9099-C40C66FF867C}">
                  <a14:compatExt spid="_x0000_s12268"/>
                </a:ext>
                <a:ext uri="{FF2B5EF4-FFF2-40B4-BE49-F238E27FC236}">
                  <a16:creationId xmlns:a16="http://schemas.microsoft.com/office/drawing/2014/main" id="{00000000-0008-0000-0900-0000E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3</xdr:col>
          <xdr:colOff>0</xdr:colOff>
          <xdr:row>73</xdr:row>
          <xdr:rowOff>47625</xdr:rowOff>
        </xdr:to>
        <xdr:sp macro="" textlink="">
          <xdr:nvSpPr>
            <xdr:cNvPr id="12269" name="Check Box 1005" hidden="1">
              <a:extLst>
                <a:ext uri="{63B3BB69-23CF-44E3-9099-C40C66FF867C}">
                  <a14:compatExt spid="_x0000_s12269"/>
                </a:ext>
                <a:ext uri="{FF2B5EF4-FFF2-40B4-BE49-F238E27FC236}">
                  <a16:creationId xmlns:a16="http://schemas.microsoft.com/office/drawing/2014/main" id="{00000000-0008-0000-0900-0000E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Select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ules@comsc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62.xml"/><Relationship Id="rId18" Type="http://schemas.openxmlformats.org/officeDocument/2006/relationships/ctrlProp" Target="../ctrlProps/ctrlProp567.xml"/><Relationship Id="rId26" Type="http://schemas.openxmlformats.org/officeDocument/2006/relationships/ctrlProp" Target="../ctrlProps/ctrlProp575.xml"/><Relationship Id="rId39" Type="http://schemas.openxmlformats.org/officeDocument/2006/relationships/ctrlProp" Target="../ctrlProps/ctrlProp588.xml"/><Relationship Id="rId21" Type="http://schemas.openxmlformats.org/officeDocument/2006/relationships/ctrlProp" Target="../ctrlProps/ctrlProp570.xml"/><Relationship Id="rId34" Type="http://schemas.openxmlformats.org/officeDocument/2006/relationships/ctrlProp" Target="../ctrlProps/ctrlProp583.xml"/><Relationship Id="rId42" Type="http://schemas.openxmlformats.org/officeDocument/2006/relationships/ctrlProp" Target="../ctrlProps/ctrlProp591.xml"/><Relationship Id="rId47" Type="http://schemas.openxmlformats.org/officeDocument/2006/relationships/ctrlProp" Target="../ctrlProps/ctrlProp596.xml"/><Relationship Id="rId50" Type="http://schemas.openxmlformats.org/officeDocument/2006/relationships/ctrlProp" Target="../ctrlProps/ctrlProp599.xml"/><Relationship Id="rId7" Type="http://schemas.openxmlformats.org/officeDocument/2006/relationships/ctrlProp" Target="../ctrlProps/ctrlProp556.xml"/><Relationship Id="rId2" Type="http://schemas.openxmlformats.org/officeDocument/2006/relationships/drawing" Target="../drawings/drawing2.xml"/><Relationship Id="rId16" Type="http://schemas.openxmlformats.org/officeDocument/2006/relationships/ctrlProp" Target="../ctrlProps/ctrlProp565.xml"/><Relationship Id="rId29" Type="http://schemas.openxmlformats.org/officeDocument/2006/relationships/ctrlProp" Target="../ctrlProps/ctrlProp578.xml"/><Relationship Id="rId11" Type="http://schemas.openxmlformats.org/officeDocument/2006/relationships/ctrlProp" Target="../ctrlProps/ctrlProp560.xml"/><Relationship Id="rId24" Type="http://schemas.openxmlformats.org/officeDocument/2006/relationships/ctrlProp" Target="../ctrlProps/ctrlProp573.xml"/><Relationship Id="rId32" Type="http://schemas.openxmlformats.org/officeDocument/2006/relationships/ctrlProp" Target="../ctrlProps/ctrlProp581.xml"/><Relationship Id="rId37" Type="http://schemas.openxmlformats.org/officeDocument/2006/relationships/ctrlProp" Target="../ctrlProps/ctrlProp586.xml"/><Relationship Id="rId40" Type="http://schemas.openxmlformats.org/officeDocument/2006/relationships/ctrlProp" Target="../ctrlProps/ctrlProp589.xml"/><Relationship Id="rId45" Type="http://schemas.openxmlformats.org/officeDocument/2006/relationships/ctrlProp" Target="../ctrlProps/ctrlProp594.xml"/><Relationship Id="rId53" Type="http://schemas.openxmlformats.org/officeDocument/2006/relationships/ctrlProp" Target="../ctrlProps/ctrlProp602.xml"/><Relationship Id="rId5" Type="http://schemas.openxmlformats.org/officeDocument/2006/relationships/ctrlProp" Target="../ctrlProps/ctrlProp554.xml"/><Relationship Id="rId10" Type="http://schemas.openxmlformats.org/officeDocument/2006/relationships/ctrlProp" Target="../ctrlProps/ctrlProp559.xml"/><Relationship Id="rId19" Type="http://schemas.openxmlformats.org/officeDocument/2006/relationships/ctrlProp" Target="../ctrlProps/ctrlProp568.xml"/><Relationship Id="rId31" Type="http://schemas.openxmlformats.org/officeDocument/2006/relationships/ctrlProp" Target="../ctrlProps/ctrlProp580.xml"/><Relationship Id="rId44" Type="http://schemas.openxmlformats.org/officeDocument/2006/relationships/ctrlProp" Target="../ctrlProps/ctrlProp593.xml"/><Relationship Id="rId52" Type="http://schemas.openxmlformats.org/officeDocument/2006/relationships/ctrlProp" Target="../ctrlProps/ctrlProp601.xml"/><Relationship Id="rId4" Type="http://schemas.openxmlformats.org/officeDocument/2006/relationships/ctrlProp" Target="../ctrlProps/ctrlProp553.xml"/><Relationship Id="rId9" Type="http://schemas.openxmlformats.org/officeDocument/2006/relationships/ctrlProp" Target="../ctrlProps/ctrlProp558.xml"/><Relationship Id="rId14" Type="http://schemas.openxmlformats.org/officeDocument/2006/relationships/ctrlProp" Target="../ctrlProps/ctrlProp563.xml"/><Relationship Id="rId22" Type="http://schemas.openxmlformats.org/officeDocument/2006/relationships/ctrlProp" Target="../ctrlProps/ctrlProp571.xml"/><Relationship Id="rId27" Type="http://schemas.openxmlformats.org/officeDocument/2006/relationships/ctrlProp" Target="../ctrlProps/ctrlProp576.xml"/><Relationship Id="rId30" Type="http://schemas.openxmlformats.org/officeDocument/2006/relationships/ctrlProp" Target="../ctrlProps/ctrlProp579.xml"/><Relationship Id="rId35" Type="http://schemas.openxmlformats.org/officeDocument/2006/relationships/ctrlProp" Target="../ctrlProps/ctrlProp584.xml"/><Relationship Id="rId43" Type="http://schemas.openxmlformats.org/officeDocument/2006/relationships/ctrlProp" Target="../ctrlProps/ctrlProp592.xml"/><Relationship Id="rId48" Type="http://schemas.openxmlformats.org/officeDocument/2006/relationships/ctrlProp" Target="../ctrlProps/ctrlProp597.xml"/><Relationship Id="rId8" Type="http://schemas.openxmlformats.org/officeDocument/2006/relationships/ctrlProp" Target="../ctrlProps/ctrlProp557.xml"/><Relationship Id="rId51" Type="http://schemas.openxmlformats.org/officeDocument/2006/relationships/ctrlProp" Target="../ctrlProps/ctrlProp600.xml"/><Relationship Id="rId3" Type="http://schemas.openxmlformats.org/officeDocument/2006/relationships/vmlDrawing" Target="../drawings/vmlDrawing2.vml"/><Relationship Id="rId12" Type="http://schemas.openxmlformats.org/officeDocument/2006/relationships/ctrlProp" Target="../ctrlProps/ctrlProp561.xml"/><Relationship Id="rId17" Type="http://schemas.openxmlformats.org/officeDocument/2006/relationships/ctrlProp" Target="../ctrlProps/ctrlProp566.xml"/><Relationship Id="rId25" Type="http://schemas.openxmlformats.org/officeDocument/2006/relationships/ctrlProp" Target="../ctrlProps/ctrlProp574.xml"/><Relationship Id="rId33" Type="http://schemas.openxmlformats.org/officeDocument/2006/relationships/ctrlProp" Target="../ctrlProps/ctrlProp582.xml"/><Relationship Id="rId38" Type="http://schemas.openxmlformats.org/officeDocument/2006/relationships/ctrlProp" Target="../ctrlProps/ctrlProp587.xml"/><Relationship Id="rId46" Type="http://schemas.openxmlformats.org/officeDocument/2006/relationships/ctrlProp" Target="../ctrlProps/ctrlProp595.xml"/><Relationship Id="rId20" Type="http://schemas.openxmlformats.org/officeDocument/2006/relationships/ctrlProp" Target="../ctrlProps/ctrlProp569.xml"/><Relationship Id="rId41" Type="http://schemas.openxmlformats.org/officeDocument/2006/relationships/ctrlProp" Target="../ctrlProps/ctrlProp590.xml"/><Relationship Id="rId1" Type="http://schemas.openxmlformats.org/officeDocument/2006/relationships/printerSettings" Target="../printerSettings/printerSettings3.bin"/><Relationship Id="rId6" Type="http://schemas.openxmlformats.org/officeDocument/2006/relationships/ctrlProp" Target="../ctrlProps/ctrlProp555.xml"/><Relationship Id="rId15" Type="http://schemas.openxmlformats.org/officeDocument/2006/relationships/ctrlProp" Target="../ctrlProps/ctrlProp564.xml"/><Relationship Id="rId23" Type="http://schemas.openxmlformats.org/officeDocument/2006/relationships/ctrlProp" Target="../ctrlProps/ctrlProp572.xml"/><Relationship Id="rId28" Type="http://schemas.openxmlformats.org/officeDocument/2006/relationships/ctrlProp" Target="../ctrlProps/ctrlProp577.xml"/><Relationship Id="rId36" Type="http://schemas.openxmlformats.org/officeDocument/2006/relationships/ctrlProp" Target="../ctrlProps/ctrlProp585.xml"/><Relationship Id="rId49" Type="http://schemas.openxmlformats.org/officeDocument/2006/relationships/ctrlProp" Target="../ctrlProps/ctrlProp59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7.xml"/><Relationship Id="rId13" Type="http://schemas.openxmlformats.org/officeDocument/2006/relationships/ctrlProp" Target="../ctrlProps/ctrlProp612.xml"/><Relationship Id="rId18" Type="http://schemas.openxmlformats.org/officeDocument/2006/relationships/ctrlProp" Target="../ctrlProps/ctrlProp617.xml"/><Relationship Id="rId3" Type="http://schemas.openxmlformats.org/officeDocument/2006/relationships/vmlDrawing" Target="../drawings/vmlDrawing3.vml"/><Relationship Id="rId21" Type="http://schemas.openxmlformats.org/officeDocument/2006/relationships/ctrlProp" Target="../ctrlProps/ctrlProp620.xml"/><Relationship Id="rId7" Type="http://schemas.openxmlformats.org/officeDocument/2006/relationships/ctrlProp" Target="../ctrlProps/ctrlProp606.xml"/><Relationship Id="rId12" Type="http://schemas.openxmlformats.org/officeDocument/2006/relationships/ctrlProp" Target="../ctrlProps/ctrlProp611.xml"/><Relationship Id="rId17" Type="http://schemas.openxmlformats.org/officeDocument/2006/relationships/ctrlProp" Target="../ctrlProps/ctrlProp616.xml"/><Relationship Id="rId25" Type="http://schemas.openxmlformats.org/officeDocument/2006/relationships/ctrlProp" Target="../ctrlProps/ctrlProp624.xml"/><Relationship Id="rId2" Type="http://schemas.openxmlformats.org/officeDocument/2006/relationships/drawing" Target="../drawings/drawing3.xml"/><Relationship Id="rId16" Type="http://schemas.openxmlformats.org/officeDocument/2006/relationships/ctrlProp" Target="../ctrlProps/ctrlProp615.xml"/><Relationship Id="rId20" Type="http://schemas.openxmlformats.org/officeDocument/2006/relationships/ctrlProp" Target="../ctrlProps/ctrlProp619.xml"/><Relationship Id="rId1" Type="http://schemas.openxmlformats.org/officeDocument/2006/relationships/printerSettings" Target="../printerSettings/printerSettings4.bin"/><Relationship Id="rId6" Type="http://schemas.openxmlformats.org/officeDocument/2006/relationships/ctrlProp" Target="../ctrlProps/ctrlProp605.xml"/><Relationship Id="rId11" Type="http://schemas.openxmlformats.org/officeDocument/2006/relationships/ctrlProp" Target="../ctrlProps/ctrlProp610.xml"/><Relationship Id="rId24" Type="http://schemas.openxmlformats.org/officeDocument/2006/relationships/ctrlProp" Target="../ctrlProps/ctrlProp623.xml"/><Relationship Id="rId5" Type="http://schemas.openxmlformats.org/officeDocument/2006/relationships/ctrlProp" Target="../ctrlProps/ctrlProp604.xml"/><Relationship Id="rId15" Type="http://schemas.openxmlformats.org/officeDocument/2006/relationships/ctrlProp" Target="../ctrlProps/ctrlProp614.xml"/><Relationship Id="rId23" Type="http://schemas.openxmlformats.org/officeDocument/2006/relationships/ctrlProp" Target="../ctrlProps/ctrlProp622.xml"/><Relationship Id="rId10" Type="http://schemas.openxmlformats.org/officeDocument/2006/relationships/ctrlProp" Target="../ctrlProps/ctrlProp609.xml"/><Relationship Id="rId19" Type="http://schemas.openxmlformats.org/officeDocument/2006/relationships/ctrlProp" Target="../ctrlProps/ctrlProp618.xml"/><Relationship Id="rId4" Type="http://schemas.openxmlformats.org/officeDocument/2006/relationships/ctrlProp" Target="../ctrlProps/ctrlProp603.xml"/><Relationship Id="rId9" Type="http://schemas.openxmlformats.org/officeDocument/2006/relationships/ctrlProp" Target="../ctrlProps/ctrlProp608.xml"/><Relationship Id="rId14" Type="http://schemas.openxmlformats.org/officeDocument/2006/relationships/ctrlProp" Target="../ctrlProps/ctrlProp613.xml"/><Relationship Id="rId22" Type="http://schemas.openxmlformats.org/officeDocument/2006/relationships/ctrlProp" Target="../ctrlProps/ctrlProp62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34.xml"/><Relationship Id="rId18" Type="http://schemas.openxmlformats.org/officeDocument/2006/relationships/ctrlProp" Target="../ctrlProps/ctrlProp639.xml"/><Relationship Id="rId26" Type="http://schemas.openxmlformats.org/officeDocument/2006/relationships/ctrlProp" Target="../ctrlProps/ctrlProp647.xml"/><Relationship Id="rId3" Type="http://schemas.openxmlformats.org/officeDocument/2006/relationships/vmlDrawing" Target="../drawings/vmlDrawing4.vml"/><Relationship Id="rId21" Type="http://schemas.openxmlformats.org/officeDocument/2006/relationships/ctrlProp" Target="../ctrlProps/ctrlProp642.xml"/><Relationship Id="rId7" Type="http://schemas.openxmlformats.org/officeDocument/2006/relationships/ctrlProp" Target="../ctrlProps/ctrlProp628.xml"/><Relationship Id="rId12" Type="http://schemas.openxmlformats.org/officeDocument/2006/relationships/ctrlProp" Target="../ctrlProps/ctrlProp633.xml"/><Relationship Id="rId17" Type="http://schemas.openxmlformats.org/officeDocument/2006/relationships/ctrlProp" Target="../ctrlProps/ctrlProp638.xml"/><Relationship Id="rId25" Type="http://schemas.openxmlformats.org/officeDocument/2006/relationships/ctrlProp" Target="../ctrlProps/ctrlProp646.xml"/><Relationship Id="rId33" Type="http://schemas.openxmlformats.org/officeDocument/2006/relationships/ctrlProp" Target="../ctrlProps/ctrlProp654.xml"/><Relationship Id="rId2" Type="http://schemas.openxmlformats.org/officeDocument/2006/relationships/drawing" Target="../drawings/drawing4.xml"/><Relationship Id="rId16" Type="http://schemas.openxmlformats.org/officeDocument/2006/relationships/ctrlProp" Target="../ctrlProps/ctrlProp637.xml"/><Relationship Id="rId20" Type="http://schemas.openxmlformats.org/officeDocument/2006/relationships/ctrlProp" Target="../ctrlProps/ctrlProp641.xml"/><Relationship Id="rId29" Type="http://schemas.openxmlformats.org/officeDocument/2006/relationships/ctrlProp" Target="../ctrlProps/ctrlProp650.xml"/><Relationship Id="rId1" Type="http://schemas.openxmlformats.org/officeDocument/2006/relationships/printerSettings" Target="../printerSettings/printerSettings5.bin"/><Relationship Id="rId6" Type="http://schemas.openxmlformats.org/officeDocument/2006/relationships/ctrlProp" Target="../ctrlProps/ctrlProp627.xml"/><Relationship Id="rId11" Type="http://schemas.openxmlformats.org/officeDocument/2006/relationships/ctrlProp" Target="../ctrlProps/ctrlProp632.xml"/><Relationship Id="rId24" Type="http://schemas.openxmlformats.org/officeDocument/2006/relationships/ctrlProp" Target="../ctrlProps/ctrlProp645.xml"/><Relationship Id="rId32" Type="http://schemas.openxmlformats.org/officeDocument/2006/relationships/ctrlProp" Target="../ctrlProps/ctrlProp653.xml"/><Relationship Id="rId5" Type="http://schemas.openxmlformats.org/officeDocument/2006/relationships/ctrlProp" Target="../ctrlProps/ctrlProp626.xml"/><Relationship Id="rId15" Type="http://schemas.openxmlformats.org/officeDocument/2006/relationships/ctrlProp" Target="../ctrlProps/ctrlProp636.xml"/><Relationship Id="rId23" Type="http://schemas.openxmlformats.org/officeDocument/2006/relationships/ctrlProp" Target="../ctrlProps/ctrlProp644.xml"/><Relationship Id="rId28" Type="http://schemas.openxmlformats.org/officeDocument/2006/relationships/ctrlProp" Target="../ctrlProps/ctrlProp649.xml"/><Relationship Id="rId10" Type="http://schemas.openxmlformats.org/officeDocument/2006/relationships/ctrlProp" Target="../ctrlProps/ctrlProp631.xml"/><Relationship Id="rId19" Type="http://schemas.openxmlformats.org/officeDocument/2006/relationships/ctrlProp" Target="../ctrlProps/ctrlProp640.xml"/><Relationship Id="rId31" Type="http://schemas.openxmlformats.org/officeDocument/2006/relationships/ctrlProp" Target="../ctrlProps/ctrlProp652.xml"/><Relationship Id="rId4" Type="http://schemas.openxmlformats.org/officeDocument/2006/relationships/ctrlProp" Target="../ctrlProps/ctrlProp625.xml"/><Relationship Id="rId9" Type="http://schemas.openxmlformats.org/officeDocument/2006/relationships/ctrlProp" Target="../ctrlProps/ctrlProp630.xml"/><Relationship Id="rId14" Type="http://schemas.openxmlformats.org/officeDocument/2006/relationships/ctrlProp" Target="../ctrlProps/ctrlProp635.xml"/><Relationship Id="rId22" Type="http://schemas.openxmlformats.org/officeDocument/2006/relationships/ctrlProp" Target="../ctrlProps/ctrlProp643.xml"/><Relationship Id="rId27" Type="http://schemas.openxmlformats.org/officeDocument/2006/relationships/ctrlProp" Target="../ctrlProps/ctrlProp648.xml"/><Relationship Id="rId30" Type="http://schemas.openxmlformats.org/officeDocument/2006/relationships/ctrlProp" Target="../ctrlProps/ctrlProp651.xml"/><Relationship Id="rId8" Type="http://schemas.openxmlformats.org/officeDocument/2006/relationships/ctrlProp" Target="../ctrlProps/ctrlProp6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59.xml"/><Relationship Id="rId13" Type="http://schemas.openxmlformats.org/officeDocument/2006/relationships/ctrlProp" Target="../ctrlProps/ctrlProp664.xml"/><Relationship Id="rId3" Type="http://schemas.openxmlformats.org/officeDocument/2006/relationships/vmlDrawing" Target="../drawings/vmlDrawing5.vml"/><Relationship Id="rId7" Type="http://schemas.openxmlformats.org/officeDocument/2006/relationships/ctrlProp" Target="../ctrlProps/ctrlProp658.xml"/><Relationship Id="rId12" Type="http://schemas.openxmlformats.org/officeDocument/2006/relationships/ctrlProp" Target="../ctrlProps/ctrlProp66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657.xml"/><Relationship Id="rId11" Type="http://schemas.openxmlformats.org/officeDocument/2006/relationships/ctrlProp" Target="../ctrlProps/ctrlProp662.xml"/><Relationship Id="rId5" Type="http://schemas.openxmlformats.org/officeDocument/2006/relationships/ctrlProp" Target="../ctrlProps/ctrlProp656.xml"/><Relationship Id="rId10" Type="http://schemas.openxmlformats.org/officeDocument/2006/relationships/ctrlProp" Target="../ctrlProps/ctrlProp661.xml"/><Relationship Id="rId4" Type="http://schemas.openxmlformats.org/officeDocument/2006/relationships/ctrlProp" Target="../ctrlProps/ctrlProp655.xml"/><Relationship Id="rId9" Type="http://schemas.openxmlformats.org/officeDocument/2006/relationships/ctrlProp" Target="../ctrlProps/ctrlProp660.xml"/><Relationship Id="rId14" Type="http://schemas.openxmlformats.org/officeDocument/2006/relationships/ctrlProp" Target="../ctrlProps/ctrlProp6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70.xml"/><Relationship Id="rId13" Type="http://schemas.openxmlformats.org/officeDocument/2006/relationships/ctrlProp" Target="../ctrlProps/ctrlProp675.xml"/><Relationship Id="rId18" Type="http://schemas.openxmlformats.org/officeDocument/2006/relationships/ctrlProp" Target="../ctrlProps/ctrlProp680.xml"/><Relationship Id="rId3" Type="http://schemas.openxmlformats.org/officeDocument/2006/relationships/vmlDrawing" Target="../drawings/vmlDrawing6.vml"/><Relationship Id="rId21" Type="http://schemas.openxmlformats.org/officeDocument/2006/relationships/ctrlProp" Target="../ctrlProps/ctrlProp683.xml"/><Relationship Id="rId7" Type="http://schemas.openxmlformats.org/officeDocument/2006/relationships/ctrlProp" Target="../ctrlProps/ctrlProp669.xml"/><Relationship Id="rId12" Type="http://schemas.openxmlformats.org/officeDocument/2006/relationships/ctrlProp" Target="../ctrlProps/ctrlProp674.xml"/><Relationship Id="rId17" Type="http://schemas.openxmlformats.org/officeDocument/2006/relationships/ctrlProp" Target="../ctrlProps/ctrlProp679.xml"/><Relationship Id="rId2" Type="http://schemas.openxmlformats.org/officeDocument/2006/relationships/drawing" Target="../drawings/drawing6.xml"/><Relationship Id="rId16" Type="http://schemas.openxmlformats.org/officeDocument/2006/relationships/ctrlProp" Target="../ctrlProps/ctrlProp678.xml"/><Relationship Id="rId20" Type="http://schemas.openxmlformats.org/officeDocument/2006/relationships/ctrlProp" Target="../ctrlProps/ctrlProp682.xml"/><Relationship Id="rId1" Type="http://schemas.openxmlformats.org/officeDocument/2006/relationships/printerSettings" Target="../printerSettings/printerSettings7.bin"/><Relationship Id="rId6" Type="http://schemas.openxmlformats.org/officeDocument/2006/relationships/ctrlProp" Target="../ctrlProps/ctrlProp668.xml"/><Relationship Id="rId11" Type="http://schemas.openxmlformats.org/officeDocument/2006/relationships/ctrlProp" Target="../ctrlProps/ctrlProp673.xml"/><Relationship Id="rId24" Type="http://schemas.openxmlformats.org/officeDocument/2006/relationships/ctrlProp" Target="../ctrlProps/ctrlProp686.xml"/><Relationship Id="rId5" Type="http://schemas.openxmlformats.org/officeDocument/2006/relationships/ctrlProp" Target="../ctrlProps/ctrlProp667.xml"/><Relationship Id="rId15" Type="http://schemas.openxmlformats.org/officeDocument/2006/relationships/ctrlProp" Target="../ctrlProps/ctrlProp677.xml"/><Relationship Id="rId23" Type="http://schemas.openxmlformats.org/officeDocument/2006/relationships/ctrlProp" Target="../ctrlProps/ctrlProp685.xml"/><Relationship Id="rId10" Type="http://schemas.openxmlformats.org/officeDocument/2006/relationships/ctrlProp" Target="../ctrlProps/ctrlProp672.xml"/><Relationship Id="rId19" Type="http://schemas.openxmlformats.org/officeDocument/2006/relationships/ctrlProp" Target="../ctrlProps/ctrlProp681.xml"/><Relationship Id="rId4" Type="http://schemas.openxmlformats.org/officeDocument/2006/relationships/ctrlProp" Target="../ctrlProps/ctrlProp666.xml"/><Relationship Id="rId9" Type="http://schemas.openxmlformats.org/officeDocument/2006/relationships/ctrlProp" Target="../ctrlProps/ctrlProp671.xml"/><Relationship Id="rId14" Type="http://schemas.openxmlformats.org/officeDocument/2006/relationships/ctrlProp" Target="../ctrlProps/ctrlProp676.xml"/><Relationship Id="rId22" Type="http://schemas.openxmlformats.org/officeDocument/2006/relationships/ctrlProp" Target="../ctrlProps/ctrlProp68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709.xml"/><Relationship Id="rId21" Type="http://schemas.openxmlformats.org/officeDocument/2006/relationships/ctrlProp" Target="../ctrlProps/ctrlProp704.xml"/><Relationship Id="rId34" Type="http://schemas.openxmlformats.org/officeDocument/2006/relationships/ctrlProp" Target="../ctrlProps/ctrlProp717.xml"/><Relationship Id="rId42" Type="http://schemas.openxmlformats.org/officeDocument/2006/relationships/ctrlProp" Target="../ctrlProps/ctrlProp725.xml"/><Relationship Id="rId47" Type="http://schemas.openxmlformats.org/officeDocument/2006/relationships/ctrlProp" Target="../ctrlProps/ctrlProp730.xml"/><Relationship Id="rId50" Type="http://schemas.openxmlformats.org/officeDocument/2006/relationships/ctrlProp" Target="../ctrlProps/ctrlProp733.xml"/><Relationship Id="rId55" Type="http://schemas.openxmlformats.org/officeDocument/2006/relationships/ctrlProp" Target="../ctrlProps/ctrlProp738.xml"/><Relationship Id="rId63" Type="http://schemas.openxmlformats.org/officeDocument/2006/relationships/ctrlProp" Target="../ctrlProps/ctrlProp746.xml"/><Relationship Id="rId68" Type="http://schemas.openxmlformats.org/officeDocument/2006/relationships/ctrlProp" Target="../ctrlProps/ctrlProp751.xml"/><Relationship Id="rId7" Type="http://schemas.openxmlformats.org/officeDocument/2006/relationships/ctrlProp" Target="../ctrlProps/ctrlProp690.xml"/><Relationship Id="rId2" Type="http://schemas.openxmlformats.org/officeDocument/2006/relationships/drawing" Target="../drawings/drawing7.xml"/><Relationship Id="rId16" Type="http://schemas.openxmlformats.org/officeDocument/2006/relationships/ctrlProp" Target="../ctrlProps/ctrlProp699.xml"/><Relationship Id="rId29" Type="http://schemas.openxmlformats.org/officeDocument/2006/relationships/ctrlProp" Target="../ctrlProps/ctrlProp712.xml"/><Relationship Id="rId11" Type="http://schemas.openxmlformats.org/officeDocument/2006/relationships/ctrlProp" Target="../ctrlProps/ctrlProp694.xml"/><Relationship Id="rId24" Type="http://schemas.openxmlformats.org/officeDocument/2006/relationships/ctrlProp" Target="../ctrlProps/ctrlProp707.xml"/><Relationship Id="rId32" Type="http://schemas.openxmlformats.org/officeDocument/2006/relationships/ctrlProp" Target="../ctrlProps/ctrlProp715.xml"/><Relationship Id="rId37" Type="http://schemas.openxmlformats.org/officeDocument/2006/relationships/ctrlProp" Target="../ctrlProps/ctrlProp720.xml"/><Relationship Id="rId40" Type="http://schemas.openxmlformats.org/officeDocument/2006/relationships/ctrlProp" Target="../ctrlProps/ctrlProp723.xml"/><Relationship Id="rId45" Type="http://schemas.openxmlformats.org/officeDocument/2006/relationships/ctrlProp" Target="../ctrlProps/ctrlProp728.xml"/><Relationship Id="rId53" Type="http://schemas.openxmlformats.org/officeDocument/2006/relationships/ctrlProp" Target="../ctrlProps/ctrlProp736.xml"/><Relationship Id="rId58" Type="http://schemas.openxmlformats.org/officeDocument/2006/relationships/ctrlProp" Target="../ctrlProps/ctrlProp741.xml"/><Relationship Id="rId66" Type="http://schemas.openxmlformats.org/officeDocument/2006/relationships/ctrlProp" Target="../ctrlProps/ctrlProp749.xml"/><Relationship Id="rId5" Type="http://schemas.openxmlformats.org/officeDocument/2006/relationships/ctrlProp" Target="../ctrlProps/ctrlProp688.xml"/><Relationship Id="rId61" Type="http://schemas.openxmlformats.org/officeDocument/2006/relationships/ctrlProp" Target="../ctrlProps/ctrlProp744.xml"/><Relationship Id="rId19" Type="http://schemas.openxmlformats.org/officeDocument/2006/relationships/ctrlProp" Target="../ctrlProps/ctrlProp702.xml"/><Relationship Id="rId14" Type="http://schemas.openxmlformats.org/officeDocument/2006/relationships/ctrlProp" Target="../ctrlProps/ctrlProp697.xml"/><Relationship Id="rId22" Type="http://schemas.openxmlformats.org/officeDocument/2006/relationships/ctrlProp" Target="../ctrlProps/ctrlProp705.xml"/><Relationship Id="rId27" Type="http://schemas.openxmlformats.org/officeDocument/2006/relationships/ctrlProp" Target="../ctrlProps/ctrlProp710.xml"/><Relationship Id="rId30" Type="http://schemas.openxmlformats.org/officeDocument/2006/relationships/ctrlProp" Target="../ctrlProps/ctrlProp713.xml"/><Relationship Id="rId35" Type="http://schemas.openxmlformats.org/officeDocument/2006/relationships/ctrlProp" Target="../ctrlProps/ctrlProp718.xml"/><Relationship Id="rId43" Type="http://schemas.openxmlformats.org/officeDocument/2006/relationships/ctrlProp" Target="../ctrlProps/ctrlProp726.xml"/><Relationship Id="rId48" Type="http://schemas.openxmlformats.org/officeDocument/2006/relationships/ctrlProp" Target="../ctrlProps/ctrlProp731.xml"/><Relationship Id="rId56" Type="http://schemas.openxmlformats.org/officeDocument/2006/relationships/ctrlProp" Target="../ctrlProps/ctrlProp739.xml"/><Relationship Id="rId64" Type="http://schemas.openxmlformats.org/officeDocument/2006/relationships/ctrlProp" Target="../ctrlProps/ctrlProp747.xml"/><Relationship Id="rId8" Type="http://schemas.openxmlformats.org/officeDocument/2006/relationships/ctrlProp" Target="../ctrlProps/ctrlProp691.xml"/><Relationship Id="rId51" Type="http://schemas.openxmlformats.org/officeDocument/2006/relationships/ctrlProp" Target="../ctrlProps/ctrlProp734.xml"/><Relationship Id="rId3" Type="http://schemas.openxmlformats.org/officeDocument/2006/relationships/vmlDrawing" Target="../drawings/vmlDrawing7.vml"/><Relationship Id="rId12" Type="http://schemas.openxmlformats.org/officeDocument/2006/relationships/ctrlProp" Target="../ctrlProps/ctrlProp695.xml"/><Relationship Id="rId17" Type="http://schemas.openxmlformats.org/officeDocument/2006/relationships/ctrlProp" Target="../ctrlProps/ctrlProp700.xml"/><Relationship Id="rId25" Type="http://schemas.openxmlformats.org/officeDocument/2006/relationships/ctrlProp" Target="../ctrlProps/ctrlProp708.xml"/><Relationship Id="rId33" Type="http://schemas.openxmlformats.org/officeDocument/2006/relationships/ctrlProp" Target="../ctrlProps/ctrlProp716.xml"/><Relationship Id="rId38" Type="http://schemas.openxmlformats.org/officeDocument/2006/relationships/ctrlProp" Target="../ctrlProps/ctrlProp721.xml"/><Relationship Id="rId46" Type="http://schemas.openxmlformats.org/officeDocument/2006/relationships/ctrlProp" Target="../ctrlProps/ctrlProp729.xml"/><Relationship Id="rId59" Type="http://schemas.openxmlformats.org/officeDocument/2006/relationships/ctrlProp" Target="../ctrlProps/ctrlProp742.xml"/><Relationship Id="rId67" Type="http://schemas.openxmlformats.org/officeDocument/2006/relationships/ctrlProp" Target="../ctrlProps/ctrlProp750.xml"/><Relationship Id="rId20" Type="http://schemas.openxmlformats.org/officeDocument/2006/relationships/ctrlProp" Target="../ctrlProps/ctrlProp703.xml"/><Relationship Id="rId41" Type="http://schemas.openxmlformats.org/officeDocument/2006/relationships/ctrlProp" Target="../ctrlProps/ctrlProp724.xml"/><Relationship Id="rId54" Type="http://schemas.openxmlformats.org/officeDocument/2006/relationships/ctrlProp" Target="../ctrlProps/ctrlProp737.xml"/><Relationship Id="rId62" Type="http://schemas.openxmlformats.org/officeDocument/2006/relationships/ctrlProp" Target="../ctrlProps/ctrlProp745.xml"/><Relationship Id="rId1" Type="http://schemas.openxmlformats.org/officeDocument/2006/relationships/printerSettings" Target="../printerSettings/printerSettings9.bin"/><Relationship Id="rId6" Type="http://schemas.openxmlformats.org/officeDocument/2006/relationships/ctrlProp" Target="../ctrlProps/ctrlProp689.xml"/><Relationship Id="rId15" Type="http://schemas.openxmlformats.org/officeDocument/2006/relationships/ctrlProp" Target="../ctrlProps/ctrlProp698.xml"/><Relationship Id="rId23" Type="http://schemas.openxmlformats.org/officeDocument/2006/relationships/ctrlProp" Target="../ctrlProps/ctrlProp706.xml"/><Relationship Id="rId28" Type="http://schemas.openxmlformats.org/officeDocument/2006/relationships/ctrlProp" Target="../ctrlProps/ctrlProp711.xml"/><Relationship Id="rId36" Type="http://schemas.openxmlformats.org/officeDocument/2006/relationships/ctrlProp" Target="../ctrlProps/ctrlProp719.xml"/><Relationship Id="rId49" Type="http://schemas.openxmlformats.org/officeDocument/2006/relationships/ctrlProp" Target="../ctrlProps/ctrlProp732.xml"/><Relationship Id="rId57" Type="http://schemas.openxmlformats.org/officeDocument/2006/relationships/ctrlProp" Target="../ctrlProps/ctrlProp740.xml"/><Relationship Id="rId10" Type="http://schemas.openxmlformats.org/officeDocument/2006/relationships/ctrlProp" Target="../ctrlProps/ctrlProp693.xml"/><Relationship Id="rId31" Type="http://schemas.openxmlformats.org/officeDocument/2006/relationships/ctrlProp" Target="../ctrlProps/ctrlProp714.xml"/><Relationship Id="rId44" Type="http://schemas.openxmlformats.org/officeDocument/2006/relationships/ctrlProp" Target="../ctrlProps/ctrlProp727.xml"/><Relationship Id="rId52" Type="http://schemas.openxmlformats.org/officeDocument/2006/relationships/ctrlProp" Target="../ctrlProps/ctrlProp735.xml"/><Relationship Id="rId60" Type="http://schemas.openxmlformats.org/officeDocument/2006/relationships/ctrlProp" Target="../ctrlProps/ctrlProp743.xml"/><Relationship Id="rId65" Type="http://schemas.openxmlformats.org/officeDocument/2006/relationships/ctrlProp" Target="../ctrlProps/ctrlProp748.xml"/><Relationship Id="rId4" Type="http://schemas.openxmlformats.org/officeDocument/2006/relationships/ctrlProp" Target="../ctrlProps/ctrlProp687.xml"/><Relationship Id="rId9" Type="http://schemas.openxmlformats.org/officeDocument/2006/relationships/ctrlProp" Target="../ctrlProps/ctrlProp692.xml"/><Relationship Id="rId13" Type="http://schemas.openxmlformats.org/officeDocument/2006/relationships/ctrlProp" Target="../ctrlProps/ctrlProp696.xml"/><Relationship Id="rId18" Type="http://schemas.openxmlformats.org/officeDocument/2006/relationships/ctrlProp" Target="../ctrlProps/ctrlProp701.xml"/><Relationship Id="rId39" Type="http://schemas.openxmlformats.org/officeDocument/2006/relationships/ctrlProp" Target="../ctrlProps/ctrlProp72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8"/>
  <sheetViews>
    <sheetView workbookViewId="0">
      <selection activeCell="C1" sqref="C1:E1"/>
    </sheetView>
  </sheetViews>
  <sheetFormatPr defaultRowHeight="14.25" x14ac:dyDescent="0.45"/>
  <sheetData>
    <row r="1" spans="1:10" ht="18" x14ac:dyDescent="0.55000000000000004">
      <c r="A1" t="s">
        <v>686</v>
      </c>
      <c r="C1" s="165" t="str">
        <f>CONCATENATE(Title, " ", Version)</f>
        <v>COMSCC 2025 v13.2</v>
      </c>
      <c r="D1" s="165"/>
      <c r="E1" s="165"/>
    </row>
    <row r="3" spans="1:10" x14ac:dyDescent="0.45">
      <c r="A3" s="179" t="s">
        <v>785</v>
      </c>
      <c r="B3" s="168"/>
      <c r="C3" s="168"/>
      <c r="D3" s="168"/>
      <c r="E3" s="168"/>
      <c r="F3" s="168"/>
      <c r="G3" s="168"/>
      <c r="H3" s="168"/>
      <c r="I3" s="168"/>
      <c r="J3" s="168"/>
    </row>
    <row r="4" spans="1:10" x14ac:dyDescent="0.45">
      <c r="A4" s="168"/>
      <c r="B4" s="168"/>
      <c r="C4" s="168"/>
      <c r="D4" s="168"/>
      <c r="E4" s="168"/>
      <c r="F4" s="168"/>
      <c r="G4" s="168"/>
      <c r="H4" s="168"/>
      <c r="I4" s="168"/>
      <c r="J4" s="168"/>
    </row>
    <row r="5" spans="1:10" x14ac:dyDescent="0.45">
      <c r="A5" s="168"/>
      <c r="B5" s="168"/>
      <c r="C5" s="168"/>
      <c r="D5" s="168"/>
      <c r="E5" s="168"/>
      <c r="F5" s="168"/>
      <c r="G5" s="168"/>
      <c r="H5" s="168"/>
      <c r="I5" s="168"/>
      <c r="J5" s="168"/>
    </row>
    <row r="7" spans="1:10" x14ac:dyDescent="0.45">
      <c r="A7" t="s">
        <v>786</v>
      </c>
    </row>
    <row r="9" spans="1:10" x14ac:dyDescent="0.45">
      <c r="A9" s="168" t="s">
        <v>691</v>
      </c>
      <c r="B9" s="168"/>
      <c r="C9" s="168"/>
      <c r="D9" s="168"/>
      <c r="E9" s="168"/>
      <c r="F9" s="168"/>
      <c r="G9" s="168"/>
      <c r="H9" s="168"/>
      <c r="I9" s="168"/>
      <c r="J9" s="168"/>
    </row>
    <row r="10" spans="1:10" x14ac:dyDescent="0.45">
      <c r="A10" s="168"/>
      <c r="B10" s="168"/>
      <c r="C10" s="168"/>
      <c r="D10" s="168"/>
      <c r="E10" s="168"/>
      <c r="F10" s="168"/>
      <c r="G10" s="168"/>
      <c r="H10" s="168"/>
      <c r="I10" s="168"/>
      <c r="J10" s="168"/>
    </row>
    <row r="11" spans="1:10" x14ac:dyDescent="0.45">
      <c r="A11" s="168"/>
      <c r="B11" s="168"/>
      <c r="C11" s="168"/>
      <c r="D11" s="168"/>
      <c r="E11" s="168"/>
      <c r="F11" s="168"/>
      <c r="G11" s="168"/>
      <c r="H11" s="168"/>
      <c r="I11" s="168"/>
      <c r="J11" s="168"/>
    </row>
    <row r="12" spans="1:10" x14ac:dyDescent="0.45">
      <c r="A12" s="168"/>
      <c r="B12" s="168"/>
      <c r="C12" s="168"/>
      <c r="D12" s="168"/>
      <c r="E12" s="168"/>
      <c r="F12" s="168"/>
      <c r="G12" s="168"/>
      <c r="H12" s="168"/>
      <c r="I12" s="168"/>
      <c r="J12" s="168"/>
    </row>
    <row r="13" spans="1:10" x14ac:dyDescent="0.45">
      <c r="A13" s="168"/>
      <c r="B13" s="168"/>
      <c r="C13" s="168"/>
      <c r="D13" s="168"/>
      <c r="E13" s="168"/>
      <c r="F13" s="168"/>
      <c r="G13" s="168"/>
      <c r="H13" s="168"/>
      <c r="I13" s="168"/>
      <c r="J13" s="168"/>
    </row>
    <row r="14" spans="1:10" x14ac:dyDescent="0.45">
      <c r="A14" s="168"/>
      <c r="B14" s="168"/>
      <c r="C14" s="168"/>
      <c r="D14" s="168"/>
      <c r="E14" s="168"/>
      <c r="F14" s="168"/>
      <c r="G14" s="168"/>
      <c r="H14" s="168"/>
      <c r="I14" s="168"/>
      <c r="J14" s="168"/>
    </row>
    <row r="15" spans="1:10" x14ac:dyDescent="0.45">
      <c r="A15" s="168"/>
      <c r="B15" s="168"/>
      <c r="C15" s="168"/>
      <c r="D15" s="168"/>
      <c r="E15" s="168"/>
      <c r="F15" s="168"/>
      <c r="G15" s="168"/>
      <c r="H15" s="168"/>
      <c r="I15" s="168"/>
      <c r="J15" s="168"/>
    </row>
    <row r="17" spans="1:10" ht="21" customHeight="1" x14ac:dyDescent="0.45">
      <c r="B17" s="178" t="s">
        <v>693</v>
      </c>
      <c r="C17" s="178"/>
      <c r="D17" s="178"/>
      <c r="E17" s="178"/>
      <c r="F17" s="178"/>
      <c r="G17" s="178"/>
      <c r="H17" s="178"/>
      <c r="I17" s="178"/>
    </row>
    <row r="18" spans="1:10" ht="27.75" customHeight="1" x14ac:dyDescent="0.45">
      <c r="B18" s="178"/>
      <c r="C18" s="178"/>
      <c r="D18" s="178"/>
      <c r="E18" s="178"/>
      <c r="F18" s="178"/>
      <c r="G18" s="178"/>
      <c r="H18" s="178"/>
      <c r="I18" s="178"/>
    </row>
    <row r="19" spans="1:10" ht="14.65" thickBot="1" x14ac:dyDescent="0.5"/>
    <row r="20" spans="1:10" x14ac:dyDescent="0.45">
      <c r="A20" s="180" t="s">
        <v>787</v>
      </c>
      <c r="B20" s="181"/>
      <c r="C20" s="181"/>
      <c r="D20" s="181"/>
      <c r="E20" s="181"/>
      <c r="F20" s="181"/>
      <c r="G20" s="181"/>
      <c r="H20" s="181"/>
      <c r="I20" s="181"/>
      <c r="J20" s="182"/>
    </row>
    <row r="21" spans="1:10" ht="54" customHeight="1" x14ac:dyDescent="0.45">
      <c r="A21" s="183"/>
      <c r="B21" s="184"/>
      <c r="C21" s="184"/>
      <c r="D21" s="184"/>
      <c r="E21" s="184"/>
      <c r="F21" s="184"/>
      <c r="G21" s="184"/>
      <c r="H21" s="184"/>
      <c r="I21" s="184"/>
      <c r="J21" s="185"/>
    </row>
    <row r="22" spans="1:10" x14ac:dyDescent="0.45">
      <c r="A22" s="109"/>
      <c r="B22" s="110"/>
      <c r="C22" s="110"/>
      <c r="D22" s="110"/>
      <c r="E22" s="110"/>
      <c r="F22" s="110"/>
      <c r="G22" s="110"/>
      <c r="H22" s="110"/>
      <c r="I22" s="110"/>
      <c r="J22" s="111"/>
    </row>
    <row r="23" spans="1:10" x14ac:dyDescent="0.45">
      <c r="A23" s="186" t="s">
        <v>687</v>
      </c>
      <c r="B23" s="187"/>
      <c r="C23" s="187"/>
      <c r="D23" s="187"/>
      <c r="E23" s="187"/>
      <c r="F23" s="187"/>
      <c r="G23" s="187"/>
      <c r="H23" s="187"/>
      <c r="I23" s="187"/>
      <c r="J23" s="188"/>
    </row>
    <row r="24" spans="1:10" x14ac:dyDescent="0.45">
      <c r="A24" s="112"/>
      <c r="B24" s="113"/>
      <c r="C24" s="113"/>
      <c r="D24" s="113"/>
      <c r="E24" s="113"/>
      <c r="F24" s="113"/>
      <c r="G24" s="113"/>
      <c r="H24" s="113"/>
      <c r="I24" s="113"/>
      <c r="J24" s="114"/>
    </row>
    <row r="25" spans="1:10" x14ac:dyDescent="0.45">
      <c r="A25" s="112"/>
      <c r="B25" s="187" t="s">
        <v>688</v>
      </c>
      <c r="C25" s="187"/>
      <c r="D25" s="187"/>
      <c r="E25" s="187"/>
      <c r="F25" s="187"/>
      <c r="G25" s="187"/>
      <c r="H25" s="187"/>
      <c r="I25" s="187"/>
      <c r="J25" s="114"/>
    </row>
    <row r="26" spans="1:10" x14ac:dyDescent="0.45">
      <c r="A26" s="112"/>
      <c r="B26" s="113"/>
      <c r="C26" s="113"/>
      <c r="D26" s="113"/>
      <c r="E26" s="113"/>
      <c r="F26" s="113"/>
      <c r="G26" s="113"/>
      <c r="H26" s="113"/>
      <c r="I26" s="113"/>
      <c r="J26" s="114"/>
    </row>
    <row r="27" spans="1:10" x14ac:dyDescent="0.45">
      <c r="A27" s="112"/>
      <c r="B27" s="113" t="s">
        <v>689</v>
      </c>
      <c r="C27" s="113"/>
      <c r="D27" s="189" t="s">
        <v>788</v>
      </c>
      <c r="E27" s="189"/>
      <c r="F27" s="189"/>
      <c r="G27" s="189"/>
      <c r="H27" s="189"/>
      <c r="I27" s="189"/>
      <c r="J27" s="190"/>
    </row>
    <row r="28" spans="1:10" ht="14.65" thickBot="1" x14ac:dyDescent="0.5">
      <c r="A28" s="112"/>
      <c r="B28" s="113"/>
      <c r="C28" s="113"/>
      <c r="D28" s="115"/>
      <c r="E28" s="115"/>
      <c r="F28" s="115"/>
      <c r="G28" s="115"/>
      <c r="H28" s="115"/>
      <c r="I28" s="115"/>
      <c r="J28" s="116"/>
    </row>
    <row r="29" spans="1:10" x14ac:dyDescent="0.45">
      <c r="A29" s="112"/>
      <c r="B29" s="169" t="s">
        <v>694</v>
      </c>
      <c r="C29" s="170"/>
      <c r="D29" s="170"/>
      <c r="E29" s="170"/>
      <c r="F29" s="170"/>
      <c r="G29" s="170"/>
      <c r="H29" s="170"/>
      <c r="I29" s="171"/>
      <c r="J29" s="117"/>
    </row>
    <row r="30" spans="1:10" x14ac:dyDescent="0.45">
      <c r="A30" s="112"/>
      <c r="B30" s="172"/>
      <c r="C30" s="173"/>
      <c r="D30" s="173"/>
      <c r="E30" s="173"/>
      <c r="F30" s="173"/>
      <c r="G30" s="173"/>
      <c r="H30" s="173"/>
      <c r="I30" s="174"/>
      <c r="J30" s="117"/>
    </row>
    <row r="31" spans="1:10" x14ac:dyDescent="0.45">
      <c r="A31" s="112"/>
      <c r="B31" s="172"/>
      <c r="C31" s="173"/>
      <c r="D31" s="173"/>
      <c r="E31" s="173"/>
      <c r="F31" s="173"/>
      <c r="G31" s="173"/>
      <c r="H31" s="173"/>
      <c r="I31" s="174"/>
      <c r="J31" s="117"/>
    </row>
    <row r="32" spans="1:10" x14ac:dyDescent="0.45">
      <c r="A32" s="112"/>
      <c r="B32" s="172"/>
      <c r="C32" s="173"/>
      <c r="D32" s="173"/>
      <c r="E32" s="173"/>
      <c r="F32" s="173"/>
      <c r="G32" s="173"/>
      <c r="H32" s="173"/>
      <c r="I32" s="174"/>
      <c r="J32" s="117"/>
    </row>
    <row r="33" spans="1:10" x14ac:dyDescent="0.45">
      <c r="A33" s="112"/>
      <c r="B33" s="172"/>
      <c r="C33" s="173"/>
      <c r="D33" s="173"/>
      <c r="E33" s="173"/>
      <c r="F33" s="173"/>
      <c r="G33" s="173"/>
      <c r="H33" s="173"/>
      <c r="I33" s="174"/>
      <c r="J33" s="117"/>
    </row>
    <row r="34" spans="1:10" x14ac:dyDescent="0.45">
      <c r="A34" s="112"/>
      <c r="B34" s="172"/>
      <c r="C34" s="173"/>
      <c r="D34" s="173"/>
      <c r="E34" s="173"/>
      <c r="F34" s="173"/>
      <c r="G34" s="173"/>
      <c r="H34" s="173"/>
      <c r="I34" s="174"/>
      <c r="J34" s="117"/>
    </row>
    <row r="35" spans="1:10" x14ac:dyDescent="0.45">
      <c r="A35" s="112"/>
      <c r="B35" s="172"/>
      <c r="C35" s="173"/>
      <c r="D35" s="173"/>
      <c r="E35" s="173"/>
      <c r="F35" s="173"/>
      <c r="G35" s="173"/>
      <c r="H35" s="173"/>
      <c r="I35" s="174"/>
      <c r="J35" s="117"/>
    </row>
    <row r="36" spans="1:10" ht="14.65" thickBot="1" x14ac:dyDescent="0.5">
      <c r="A36" s="112"/>
      <c r="B36" s="175"/>
      <c r="C36" s="176"/>
      <c r="D36" s="176"/>
      <c r="E36" s="176"/>
      <c r="F36" s="176"/>
      <c r="G36" s="176"/>
      <c r="H36" s="176"/>
      <c r="I36" s="177"/>
      <c r="J36" s="117"/>
    </row>
    <row r="37" spans="1:10" x14ac:dyDescent="0.45">
      <c r="A37" s="112"/>
      <c r="B37" s="113"/>
      <c r="C37" s="113"/>
      <c r="D37" s="113"/>
      <c r="E37" s="113"/>
      <c r="F37" s="113"/>
      <c r="G37" s="113"/>
      <c r="H37" s="113"/>
      <c r="I37" s="113"/>
      <c r="J37" s="114"/>
    </row>
    <row r="38" spans="1:10" ht="14.65" thickBot="1" x14ac:dyDescent="0.5">
      <c r="A38" s="166" t="s">
        <v>692</v>
      </c>
      <c r="B38" s="167"/>
      <c r="C38" s="167"/>
      <c r="D38" s="167"/>
      <c r="E38" s="167"/>
      <c r="F38" s="118" t="s">
        <v>690</v>
      </c>
      <c r="G38" s="119"/>
      <c r="H38" s="119"/>
      <c r="I38" s="119"/>
      <c r="J38" s="120"/>
    </row>
  </sheetData>
  <sheetProtection algorithmName="SHA-512" hashValue="oR/ppMwo5V5TGywLb5uJyTLrYmPHDkxRvxu3jouoFsdrz9qAgNVRzsSpLcqzbPxoj7OkhFMSVQNfS+SAssAjxQ==" saltValue="B1WG6iHWcaSNibpGFF6Mww==" spinCount="100000" sheet="1" objects="1" scenarios="1"/>
  <mergeCells count="10">
    <mergeCell ref="C1:E1"/>
    <mergeCell ref="A38:E38"/>
    <mergeCell ref="A9:J15"/>
    <mergeCell ref="B29:I36"/>
    <mergeCell ref="B17:I18"/>
    <mergeCell ref="A3:J5"/>
    <mergeCell ref="A20:J21"/>
    <mergeCell ref="A23:J23"/>
    <mergeCell ref="B25:I25"/>
    <mergeCell ref="D27:J27"/>
  </mergeCells>
  <hyperlinks>
    <hyperlink ref="F3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A1:H70"/>
  <sheetViews>
    <sheetView tabSelected="1" zoomScaleNormal="100" workbookViewId="0">
      <selection sqref="A1:C1"/>
    </sheetView>
  </sheetViews>
  <sheetFormatPr defaultColWidth="9.1328125" defaultRowHeight="14.25" x14ac:dyDescent="0.45"/>
  <cols>
    <col min="1" max="1" width="30" style="1" bestFit="1" customWidth="1"/>
    <col min="2" max="2" width="25.265625" style="14" customWidth="1"/>
    <col min="3" max="3" width="33.265625" style="1" bestFit="1" customWidth="1"/>
    <col min="4" max="5" width="0" style="1" hidden="1" customWidth="1"/>
    <col min="6" max="8" width="9.1328125" style="1" hidden="1" customWidth="1"/>
    <col min="9" max="11" width="9.1328125" style="1" customWidth="1"/>
    <col min="12" max="16384" width="9.1328125" style="1"/>
  </cols>
  <sheetData>
    <row r="1" spans="1:5" ht="18" x14ac:dyDescent="0.55000000000000004">
      <c r="A1" s="165" t="str">
        <f>CONCATENATE(Title, " ", Version)</f>
        <v>COMSCC 2025 v13.2</v>
      </c>
      <c r="B1" s="165"/>
      <c r="C1" s="165"/>
      <c r="D1" s="34"/>
      <c r="E1" s="34"/>
    </row>
    <row r="3" spans="1:5" ht="18" hidden="1" customHeight="1" x14ac:dyDescent="0.45">
      <c r="A3" s="4" t="s">
        <v>99</v>
      </c>
      <c r="B3" s="1" t="s">
        <v>840</v>
      </c>
      <c r="C3" s="1" t="s">
        <v>837</v>
      </c>
    </row>
    <row r="4" spans="1:5" x14ac:dyDescent="0.45">
      <c r="A4" s="3"/>
    </row>
    <row r="5" spans="1:5" ht="34.5" customHeight="1" x14ac:dyDescent="0.45">
      <c r="A5" s="192" t="s">
        <v>682</v>
      </c>
      <c r="B5" s="193"/>
      <c r="C5" s="193"/>
    </row>
    <row r="7" spans="1:5" x14ac:dyDescent="0.45">
      <c r="A7" s="3" t="s">
        <v>679</v>
      </c>
    </row>
    <row r="8" spans="1:5" x14ac:dyDescent="0.45">
      <c r="A8" s="3" t="s">
        <v>680</v>
      </c>
    </row>
    <row r="9" spans="1:5" x14ac:dyDescent="0.45">
      <c r="A9" s="3" t="s">
        <v>681</v>
      </c>
    </row>
    <row r="11" spans="1:5" x14ac:dyDescent="0.45">
      <c r="A11" s="25" t="s">
        <v>91</v>
      </c>
      <c r="B11" s="102" t="s">
        <v>324</v>
      </c>
      <c r="C11"/>
    </row>
    <row r="12" spans="1:5" x14ac:dyDescent="0.45">
      <c r="A12" s="6" t="s">
        <v>92</v>
      </c>
      <c r="B12" s="16" t="str">
        <f ca="1">IF(ISBLANK(INDEX(Selected_Vehicle,1)), "Select a car", INDEX(Selected_Vehicle,1))</f>
        <v/>
      </c>
    </row>
    <row r="13" spans="1:5" x14ac:dyDescent="0.45">
      <c r="A13" s="6" t="s">
        <v>93</v>
      </c>
      <c r="B13" s="16" t="str">
        <f ca="1">IF(ISBLANK(INDEX(Selected_Vehicle,2)), "from list", INDEX(Selected_Vehicle,2))</f>
        <v/>
      </c>
    </row>
    <row r="14" spans="1:5" x14ac:dyDescent="0.45">
      <c r="A14" s="6" t="s">
        <v>123</v>
      </c>
      <c r="B14" s="16" t="str">
        <f ca="1">IF(ISBLANK(INDEX(Selected_Vehicle,6)), "", INDEX(Selected_Vehicle,6))</f>
        <v/>
      </c>
    </row>
    <row r="15" spans="1:5" x14ac:dyDescent="0.45">
      <c r="A15" s="6" t="s">
        <v>267</v>
      </c>
      <c r="B15" s="16" t="str">
        <f ca="1">IF(ISBLANK(INDEX(Selected_Vehicle,7)), "", INDEX(Selected_Vehicle,7))</f>
        <v/>
      </c>
    </row>
    <row r="16" spans="1:5" ht="18" x14ac:dyDescent="0.55000000000000004">
      <c r="A16" s="6" t="s">
        <v>64</v>
      </c>
      <c r="B16" s="16" t="str">
        <f ca="1">IF(ISBLANK(INDEX(Selected_Vehicle,5)), "", INDEX(Selected_Vehicle,5))</f>
        <v/>
      </c>
      <c r="E16" s="55" t="str">
        <f ca="1">IF(Is_Safety_upgrade, "Highly Modified Touring Safety Requirements", "")</f>
        <v/>
      </c>
    </row>
    <row r="17" spans="1:5" x14ac:dyDescent="0.45">
      <c r="A17" s="6" t="s">
        <v>94</v>
      </c>
      <c r="B17" s="32" t="str">
        <f ca="1">Car_Base_Points</f>
        <v/>
      </c>
      <c r="C17"/>
      <c r="E17" s="3" t="str">
        <f ca="1">IF(Is_Safety_upgrade, INDEX(Safety_Rules,1), "")</f>
        <v/>
      </c>
    </row>
    <row r="18" spans="1:5" x14ac:dyDescent="0.45">
      <c r="A18" s="6" t="s">
        <v>95</v>
      </c>
      <c r="B18" s="16" t="str">
        <f ca="1">Car_Base_Class</f>
        <v/>
      </c>
      <c r="C18" s="3"/>
      <c r="E18" s="1" t="str">
        <f ca="1">IF(Is_Safety_upgrade, INDEX(Safety_Rules,2), "")</f>
        <v/>
      </c>
    </row>
    <row r="19" spans="1:5" x14ac:dyDescent="0.45">
      <c r="E19" s="1" t="str">
        <f ca="1">IF(Is_Safety_upgrade, INDEX(Safety_Rules,3), "")</f>
        <v/>
      </c>
    </row>
    <row r="20" spans="1:5" x14ac:dyDescent="0.45">
      <c r="A20" s="11" t="s">
        <v>2</v>
      </c>
      <c r="B20" s="15" t="s">
        <v>0</v>
      </c>
      <c r="E20" s="1" t="str">
        <f ca="1">IF(Is_Safety_upgrade, INDEX(Safety_Rules,4), "")</f>
        <v/>
      </c>
    </row>
    <row r="21" spans="1:5" x14ac:dyDescent="0.45">
      <c r="A21" s="6" t="s">
        <v>21</v>
      </c>
      <c r="B21" s="32">
        <f>Total_Engine</f>
        <v>0</v>
      </c>
      <c r="C21" s="102" t="s">
        <v>84</v>
      </c>
      <c r="E21" s="1" t="str">
        <f ca="1">IF(Is_Safety_upgrade, INDEX(Safety_Rules,5), "")</f>
        <v/>
      </c>
    </row>
    <row r="22" spans="1:5" x14ac:dyDescent="0.45">
      <c r="A22" s="6" t="s">
        <v>29</v>
      </c>
      <c r="B22" s="32">
        <f>Total_Drivetrain</f>
        <v>0</v>
      </c>
      <c r="C22" s="102" t="s">
        <v>85</v>
      </c>
      <c r="E22" s="1" t="str">
        <f ca="1">IF(Is_Safety_upgrade, INDEX(Safety_Rules,6), "")</f>
        <v/>
      </c>
    </row>
    <row r="23" spans="1:5" x14ac:dyDescent="0.45">
      <c r="A23" s="6" t="s">
        <v>43</v>
      </c>
      <c r="B23" s="32">
        <f>Total_Suspension</f>
        <v>0</v>
      </c>
      <c r="C23" s="102" t="s">
        <v>86</v>
      </c>
      <c r="E23" s="1" t="str">
        <f ca="1">IF(Is_Safety_upgrade, INDEX(Safety_Rules,7), "")</f>
        <v/>
      </c>
    </row>
    <row r="24" spans="1:5" x14ac:dyDescent="0.45">
      <c r="A24" s="6" t="s">
        <v>45</v>
      </c>
      <c r="B24" s="32">
        <f>Total_Brakes</f>
        <v>0</v>
      </c>
      <c r="C24" s="102" t="s">
        <v>87</v>
      </c>
      <c r="E24" s="1" t="str">
        <f ca="1">IF(Is_Safety_upgrade, INDEX(Safety_Rules,8), "")</f>
        <v/>
      </c>
    </row>
    <row r="25" spans="1:5" x14ac:dyDescent="0.45">
      <c r="A25" s="6" t="s">
        <v>80</v>
      </c>
      <c r="B25" s="32">
        <f>Total_Exterior</f>
        <v>0</v>
      </c>
      <c r="C25" s="102" t="s">
        <v>88</v>
      </c>
      <c r="E25" s="1" t="str">
        <f ca="1">IF(Is_Safety_upgrade, INDEX(Safety_Rules,9), "")</f>
        <v/>
      </c>
    </row>
    <row r="26" spans="1:5" x14ac:dyDescent="0.45">
      <c r="A26" s="6" t="s">
        <v>81</v>
      </c>
      <c r="B26" s="32" t="str">
        <f>Total_Weight</f>
        <v>Enter Weight</v>
      </c>
      <c r="C26" s="102" t="s">
        <v>89</v>
      </c>
      <c r="E26" s="1" t="str">
        <f ca="1">IF(Is_Safety_upgrade, INDEX(Safety_Rules,10), "")</f>
        <v/>
      </c>
    </row>
    <row r="27" spans="1:5" x14ac:dyDescent="0.45">
      <c r="A27" s="6" t="s">
        <v>82</v>
      </c>
      <c r="B27" s="32" t="str">
        <f>Total_Tire</f>
        <v>No Tire</v>
      </c>
      <c r="C27" s="7" t="s">
        <v>90</v>
      </c>
      <c r="E27" s="1" t="str">
        <f ca="1">IF(Is_Safety_upgrade, INDEX(Safety_Rules,11), "")</f>
        <v/>
      </c>
    </row>
    <row r="28" spans="1:5" x14ac:dyDescent="0.45">
      <c r="A28" s="8" t="s">
        <v>83</v>
      </c>
      <c r="B28" s="81">
        <f>SUM(Assessments)</f>
        <v>0</v>
      </c>
      <c r="E28" s="1" t="str">
        <f ca="1">IF(Is_Safety_upgrade, INDEX(Safety_Rules,12), "")</f>
        <v/>
      </c>
    </row>
    <row r="29" spans="1:5" ht="18" x14ac:dyDescent="0.55000000000000004">
      <c r="A29" s="56" t="str">
        <f ca="1">IF(Safety_mods,"Safety Upgrades Required for vehicles with 31+ modification points",IF(Safety_Engine,"Safety Upgrades Required for vehicles with 16+ engine modification points",""))</f>
        <v/>
      </c>
      <c r="E29" s="1" t="str">
        <f ca="1">IF(Is_Safety_upgrade, INDEX(Safety_Rules,13), "")</f>
        <v/>
      </c>
    </row>
    <row r="30" spans="1:5" s="128" customFormat="1" ht="24.75" customHeight="1" thickBot="1" x14ac:dyDescent="0.5">
      <c r="A30" s="126" t="str">
        <f ca="1">IF(Competition_class="T110","Note: The Classification says T110 to make the sheet work; your class is actually TU","")</f>
        <v/>
      </c>
      <c r="B30" s="127"/>
      <c r="E30" s="128" t="str">
        <f ca="1">IF(Is_Safety_upgrade, INDEX(Safety_Rules,14), "")</f>
        <v/>
      </c>
    </row>
    <row r="31" spans="1:5" ht="14.65" thickBot="1" x14ac:dyDescent="0.5">
      <c r="A31" s="12" t="s">
        <v>96</v>
      </c>
      <c r="B31" s="36" t="str">
        <f ca="1">IF(ISNUMBER(Showroom_Assessment_Points), Showroom_Assessment_Points+Points_Assessment-0.0499999999999, "No Vehicle")</f>
        <v>No Vehicle</v>
      </c>
      <c r="E31" s="1" t="str">
        <f ca="1">IF(Is_Safety_upgrade, INDEX(Safety_Rules,15), "")</f>
        <v/>
      </c>
    </row>
    <row r="32" spans="1:5" x14ac:dyDescent="0.45">
      <c r="A32" s="12" t="s">
        <v>714</v>
      </c>
      <c r="B32" s="36">
        <f>Tire_Competition_Class</f>
        <v>0</v>
      </c>
      <c r="E32" s="1" t="str">
        <f ca="1">IF(Is_Safety_upgrade, INDEX(Safety_Rules,15), "")</f>
        <v/>
      </c>
    </row>
    <row r="33" spans="1:8" ht="33" customHeight="1" thickBot="1" x14ac:dyDescent="0.5">
      <c r="A33" s="13" t="s">
        <v>97</v>
      </c>
      <c r="B33" s="40" t="str">
        <f>Class_max</f>
        <v>Tire Class Not Set</v>
      </c>
      <c r="F33" s="1" t="str" cm="1">
        <f t="array" aca="1" ref="F33" ca="1">IF(ISNUMBER(Total_Assessment),INDEX(Base_Classes, MATCH(Total_Assessment, Base_Assessments, 1)+1), "")</f>
        <v/>
      </c>
      <c r="G33" s="1">
        <f>Tire_Competition_Class</f>
        <v>0</v>
      </c>
      <c r="H33" s="1" t="str">
        <f>IF(ISBLANK(Tire_Competition_Class), "Tire Class Not Set", IF(VALUE(MID(ClassificationTire,2,3))&gt;VALUE(MID(Classification,2,3)),CONCATENATE(ClassificationTire," (tire sheet)"),Classification))</f>
        <v>Tire Class Not Set</v>
      </c>
    </row>
    <row r="34" spans="1:8" ht="26.25" customHeight="1" x14ac:dyDescent="0.45">
      <c r="B34" s="107"/>
    </row>
    <row r="35" spans="1:8" hidden="1" x14ac:dyDescent="0.45">
      <c r="A35" s="41" t="s">
        <v>461</v>
      </c>
      <c r="B35" s="26" t="b">
        <f ca="1">IF(ISNUMBER(Total_Assessment), Total_Engine&gt;=16, FALSE)</f>
        <v>0</v>
      </c>
    </row>
    <row r="36" spans="1:8" hidden="1" x14ac:dyDescent="0.45">
      <c r="A36" s="41" t="s">
        <v>366</v>
      </c>
      <c r="B36" s="26" t="b">
        <f ca="1">IF(ISNUMBER(Total_Assessment), Points_Assessment&gt;=31, FALSE)</f>
        <v>0</v>
      </c>
    </row>
    <row r="37" spans="1:8" hidden="1" x14ac:dyDescent="0.45">
      <c r="A37" s="41"/>
      <c r="B37" s="26" t="b">
        <f ca="1">OR(B35, B36)</f>
        <v>0</v>
      </c>
    </row>
    <row r="38" spans="1:8" hidden="1" x14ac:dyDescent="0.45">
      <c r="A38" s="46" t="s">
        <v>346</v>
      </c>
      <c r="B38" s="46" t="s">
        <v>347</v>
      </c>
    </row>
    <row r="39" spans="1:8" hidden="1" x14ac:dyDescent="0.45">
      <c r="A39" s="1">
        <v>-10000</v>
      </c>
      <c r="B39" s="1" t="s">
        <v>344</v>
      </c>
    </row>
    <row r="40" spans="1:8" hidden="1" x14ac:dyDescent="0.45">
      <c r="A40" s="1">
        <v>39.950000000000003</v>
      </c>
      <c r="B40" s="1" t="s">
        <v>345</v>
      </c>
    </row>
    <row r="41" spans="1:8" hidden="1" x14ac:dyDescent="0.45">
      <c r="A41" s="1">
        <v>49.95</v>
      </c>
      <c r="B41" s="1" t="s">
        <v>79</v>
      </c>
    </row>
    <row r="42" spans="1:8" hidden="1" x14ac:dyDescent="0.45">
      <c r="A42" s="1">
        <v>59.95</v>
      </c>
      <c r="B42" s="1" t="s">
        <v>78</v>
      </c>
    </row>
    <row r="43" spans="1:8" hidden="1" x14ac:dyDescent="0.45">
      <c r="A43" s="1">
        <v>69.95</v>
      </c>
      <c r="B43" s="1" t="s">
        <v>77</v>
      </c>
    </row>
    <row r="44" spans="1:8" hidden="1" x14ac:dyDescent="0.45">
      <c r="A44" s="1">
        <v>79.95</v>
      </c>
      <c r="B44" s="1" t="s">
        <v>76</v>
      </c>
    </row>
    <row r="45" spans="1:8" hidden="1" x14ac:dyDescent="0.45">
      <c r="A45" s="1">
        <v>89.95</v>
      </c>
      <c r="B45" s="1" t="s">
        <v>75</v>
      </c>
    </row>
    <row r="46" spans="1:8" hidden="1" x14ac:dyDescent="0.45">
      <c r="A46" s="1">
        <v>99.95</v>
      </c>
      <c r="B46" s="1" t="s">
        <v>74</v>
      </c>
    </row>
    <row r="47" spans="1:8" hidden="1" x14ac:dyDescent="0.45">
      <c r="A47" s="1">
        <v>109.95</v>
      </c>
      <c r="B47" s="1" t="s">
        <v>73</v>
      </c>
    </row>
    <row r="48" spans="1:8" hidden="1" x14ac:dyDescent="0.45">
      <c r="A48" s="1">
        <v>1000</v>
      </c>
      <c r="B48" s="1" t="s">
        <v>774</v>
      </c>
    </row>
    <row r="49" spans="1:2" hidden="1" x14ac:dyDescent="0.45">
      <c r="B49" s="1"/>
    </row>
    <row r="50" spans="1:2" ht="20.25" customHeight="1" x14ac:dyDescent="0.45">
      <c r="A50" s="191"/>
      <c r="B50" s="191"/>
    </row>
    <row r="51" spans="1:2" ht="15.75" customHeight="1" x14ac:dyDescent="0.45">
      <c r="A51" s="191"/>
      <c r="B51" s="191"/>
    </row>
    <row r="52" spans="1:2" ht="15" customHeight="1" x14ac:dyDescent="0.45">
      <c r="A52" s="191"/>
      <c r="B52" s="191"/>
    </row>
    <row r="53" spans="1:2" x14ac:dyDescent="0.45">
      <c r="A53" s="191"/>
      <c r="B53" s="191"/>
    </row>
    <row r="55" spans="1:2" hidden="1" x14ac:dyDescent="0.45">
      <c r="A55" s="3" t="s">
        <v>648</v>
      </c>
    </row>
    <row r="56" spans="1:2" hidden="1" x14ac:dyDescent="0.45">
      <c r="A56" s="1" t="s">
        <v>161</v>
      </c>
    </row>
    <row r="57" spans="1:2" hidden="1" x14ac:dyDescent="0.45">
      <c r="A57" s="1" t="s">
        <v>649</v>
      </c>
    </row>
    <row r="58" spans="1:2" hidden="1" x14ac:dyDescent="0.45">
      <c r="A58" s="1" t="s">
        <v>650</v>
      </c>
    </row>
    <row r="59" spans="1:2" hidden="1" x14ac:dyDescent="0.45">
      <c r="A59" s="1" t="s">
        <v>651</v>
      </c>
    </row>
    <row r="60" spans="1:2" hidden="1" x14ac:dyDescent="0.45">
      <c r="A60" s="1" t="s">
        <v>652</v>
      </c>
    </row>
    <row r="61" spans="1:2" hidden="1" x14ac:dyDescent="0.45">
      <c r="A61" s="1" t="s">
        <v>161</v>
      </c>
    </row>
    <row r="62" spans="1:2" hidden="1" x14ac:dyDescent="0.45">
      <c r="A62" s="1" t="s">
        <v>161</v>
      </c>
    </row>
    <row r="63" spans="1:2" hidden="1" x14ac:dyDescent="0.45">
      <c r="A63" s="1" t="s">
        <v>161</v>
      </c>
    </row>
    <row r="64" spans="1:2" hidden="1" x14ac:dyDescent="0.45">
      <c r="A64" s="1" t="s">
        <v>161</v>
      </c>
    </row>
    <row r="65" spans="1:1" hidden="1" x14ac:dyDescent="0.45">
      <c r="A65" s="1" t="s">
        <v>161</v>
      </c>
    </row>
    <row r="66" spans="1:1" hidden="1" x14ac:dyDescent="0.45">
      <c r="A66" s="1" t="s">
        <v>161</v>
      </c>
    </row>
    <row r="67" spans="1:1" hidden="1" x14ac:dyDescent="0.45">
      <c r="A67" s="1" t="s">
        <v>161</v>
      </c>
    </row>
    <row r="68" spans="1:1" hidden="1" x14ac:dyDescent="0.45">
      <c r="A68" s="1" t="s">
        <v>161</v>
      </c>
    </row>
    <row r="69" spans="1:1" hidden="1" x14ac:dyDescent="0.45">
      <c r="A69" s="1" t="s">
        <v>161</v>
      </c>
    </row>
    <row r="70" spans="1:1" hidden="1" x14ac:dyDescent="0.45">
      <c r="A70" s="1" t="s">
        <v>161</v>
      </c>
    </row>
  </sheetData>
  <sheetProtection algorithmName="SHA-512" hashValue="jW5XeFPP/JWJQAGGzI/3sndmTN4m65tWw0KaCkBrIdjfdRVoLKxCSV6zJzqUK9BjDpIRHCQCFctEQXmifw70Jw==" saltValue="Y01Z58IVeG1RS7bVhiIWbg==" spinCount="100000" sheet="1" objects="1" scenarios="1"/>
  <mergeCells count="3">
    <mergeCell ref="A1:C1"/>
    <mergeCell ref="A50:B53"/>
    <mergeCell ref="A5:C5"/>
  </mergeCells>
  <conditionalFormatting sqref="B34">
    <cfRule type="expression" dxfId="769" priority="1">
      <formula>ISNUMBER($B$31)</formula>
    </cfRule>
  </conditionalFormatting>
  <hyperlinks>
    <hyperlink ref="C21" location="Engine!A1" display="Go to Engine Worksheet" xr:uid="{00000000-0004-0000-0100-000000000000}"/>
    <hyperlink ref="C22" location="Drivetrain!A1" display="Go to Drivetrain Worksheet" xr:uid="{00000000-0004-0000-0100-000001000000}"/>
    <hyperlink ref="C23" location="Suspension!A1" display="Go to Suspension Worksheet" xr:uid="{00000000-0004-0000-0100-000002000000}"/>
    <hyperlink ref="C24" location="Brakes!A1" display="Go to Brakes Worksheet" xr:uid="{00000000-0004-0000-0100-000003000000}"/>
    <hyperlink ref="C25" location="Exterior!A1" display="Go to Exterior Worksheet" xr:uid="{00000000-0004-0000-0100-000004000000}"/>
    <hyperlink ref="C26" location="Weight!A1" display="Go to Weight Reduction Worksheet" xr:uid="{00000000-0004-0000-0100-000005000000}"/>
    <hyperlink ref="C27" location="Tires!A1" display="Go to Tire Worksheet" xr:uid="{00000000-0004-0000-0100-000006000000}"/>
    <hyperlink ref="A3" location="'COMSCC Class Tool'!A1" display="Homepage" xr:uid="{00000000-0004-0000-0100-000007000000}"/>
    <hyperlink ref="B11" location="Vehicles!A1" display="Go to Car List" xr:uid="{00000000-0004-0000-0100-000008000000}"/>
  </hyperlinks>
  <pageMargins left="0.7" right="0.7" top="0.75" bottom="0.75" header="0.3" footer="0.3"/>
  <pageSetup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561"/>
  <sheetViews>
    <sheetView zoomScaleNormal="100" workbookViewId="0">
      <selection sqref="A1:C1"/>
    </sheetView>
  </sheetViews>
  <sheetFormatPr defaultColWidth="9.1328125" defaultRowHeight="14.25" x14ac:dyDescent="0.45"/>
  <cols>
    <col min="1" max="1" width="18.265625" style="1" customWidth="1"/>
    <col min="2" max="2" width="14.86328125" style="26" bestFit="1" customWidth="1"/>
    <col min="3" max="3" width="35.59765625" style="26" customWidth="1"/>
    <col min="4" max="5" width="8.265625" style="14" customWidth="1"/>
    <col min="6" max="6" width="14.86328125" style="14" customWidth="1"/>
    <col min="7" max="8" width="9.1328125" style="14" customWidth="1"/>
    <col min="9" max="9" width="10.59765625" style="14" hidden="1" customWidth="1"/>
    <col min="10" max="10" width="8.73046875" style="28" hidden="1" customWidth="1"/>
    <col min="11" max="11" width="8.59765625" style="28" hidden="1" customWidth="1"/>
    <col min="12" max="12" width="6" style="28" hidden="1" customWidth="1"/>
    <col min="13" max="13" width="13.3984375" style="14" customWidth="1"/>
    <col min="14" max="14" width="11.86328125" style="28" customWidth="1"/>
    <col min="15" max="15" width="17.1328125" style="14" customWidth="1"/>
    <col min="16" max="17" width="9.1328125" style="1" hidden="1" customWidth="1"/>
    <col min="18" max="18" width="9.1328125" style="43" hidden="1" customWidth="1"/>
    <col min="19" max="19" width="9.1328125" style="80" hidden="1" customWidth="1"/>
    <col min="20" max="26" width="9.1328125" style="1" hidden="1" customWidth="1"/>
    <col min="27" max="16384" width="9.1328125" style="1"/>
  </cols>
  <sheetData>
    <row r="1" spans="1:22" ht="18" x14ac:dyDescent="0.55000000000000004">
      <c r="A1" s="194" t="str">
        <f>CONCATENATE(Title, " ", Version)</f>
        <v>COMSCC 2025 v13.2</v>
      </c>
      <c r="B1" s="194"/>
      <c r="C1" s="194"/>
      <c r="D1" s="34"/>
      <c r="E1" s="34"/>
    </row>
    <row r="3" spans="1:22" ht="28.5" x14ac:dyDescent="0.45">
      <c r="A3" s="101" t="s">
        <v>100</v>
      </c>
    </row>
    <row r="5" spans="1:22" x14ac:dyDescent="0.45">
      <c r="A5" s="24" t="s">
        <v>119</v>
      </c>
    </row>
    <row r="6" spans="1:22" x14ac:dyDescent="0.45">
      <c r="A6" s="3" t="s">
        <v>445</v>
      </c>
    </row>
    <row r="7" spans="1:22" x14ac:dyDescent="0.45">
      <c r="A7" s="3"/>
    </row>
    <row r="8" spans="1:22" x14ac:dyDescent="0.45">
      <c r="A8" s="19" t="s">
        <v>340</v>
      </c>
      <c r="B8" s="88" t="str">
        <f ca="1">IF(Car_Select_Error,"Error Multiple",IF(Car_Valid,OFFSET(Car_List,MATCH(TRUE,Car_Selected_Truth,0)-1,1,1,1),""))</f>
        <v/>
      </c>
      <c r="C8" s="27" t="str">
        <f ca="1">IF(Car_Select_Error,"Vehicles Selected",IF(Car_Valid,OFFSET(Car_List,MATCH(TRUE,Car_Selected_Truth,0)-1,2,1,1),""))</f>
        <v/>
      </c>
      <c r="D8" s="37" t="str">
        <f ca="1">IF(Car_Valid, OFFSET(Car_List, MATCH(TRUE, Car_Selected_Truth, 0)-1, 3, 1, 1),"")</f>
        <v/>
      </c>
      <c r="E8" s="15" t="str">
        <f ca="1">IF(Car_Valid, OFFSET(Car_List, MATCH(TRUE, Car_Selected_Truth, 0)-1, 4, 1, 1),"")</f>
        <v/>
      </c>
      <c r="F8" s="37" t="str">
        <f ca="1">IF(Car_Valid, OFFSET(Car_List, MATCH(TRUE, Car_Selected_Truth, 0)-1, 5, 1, 1),"")</f>
        <v/>
      </c>
      <c r="G8" s="37" t="str">
        <f ca="1">IF(Car_Valid, OFFSET(Car_List, MATCH(TRUE, Car_Selected_Truth, 0)-1, 6, 1, 1),"")</f>
        <v/>
      </c>
      <c r="H8" s="15" t="str">
        <f ca="1">IF(Car_Valid, OFFSET(Car_List, MATCH(TRUE, Car_Selected_Truth, 0)-1, 7, 1, 1),"")</f>
        <v/>
      </c>
      <c r="I8" s="38" t="str">
        <f ca="1">IF(Car_Valid, OFFSET(Car_List, MATCH(TRUE, Car_Selected_Truth, 0)-1, 8, 1, 1),"")</f>
        <v/>
      </c>
      <c r="J8" s="38" t="str">
        <f ca="1">IF(Car_Valid, OFFSET(Car_List, MATCH(TRUE, Car_Selected_Truth, 0)-1, 9, 1, 1),"")</f>
        <v/>
      </c>
      <c r="K8" s="38" t="str">
        <f ca="1">IF(Car_Valid, OFFSET(Car_List, MATCH(TRUE, Car_Selected_Truth, 0)-1, 10, 1, 1),"")</f>
        <v/>
      </c>
      <c r="L8" s="38" t="str">
        <f ca="1">IF(Car_Valid, OFFSET(Car_List, MATCH(TRUE, Car_Selected_Truth, 0)-1, 11, 1, 1),"")</f>
        <v/>
      </c>
      <c r="M8" s="38" t="str">
        <f ca="1">IF(Car_Valid, OFFSET(Car_List, MATCH(TRUE, Car_Selected_Truth, 0)-1, 12, 1, 1),"")</f>
        <v/>
      </c>
      <c r="N8" s="39" t="str">
        <f ca="1">IF(Car_Valid, OFFSET(Car_List, MATCH(TRUE, Car_Selected_Truth, 0)-1, 13, 1, 1),"")</f>
        <v/>
      </c>
      <c r="O8" s="37" t="str">
        <f ca="1">IF(Car_Valid, OFFSET(Car_List, MATCH(TRUE, Car_Selected_Truth, 0)-1, 14, 1, 1),"")</f>
        <v/>
      </c>
    </row>
    <row r="9" spans="1:22" x14ac:dyDescent="0.45">
      <c r="A9" s="3"/>
      <c r="Q9" s="1" t="b">
        <f>IF(R9=1, TRUE, FALSE)</f>
        <v>0</v>
      </c>
      <c r="R9" s="1">
        <f>COUNTIF(Car_Selected_Truth, "TRUE")</f>
        <v>0</v>
      </c>
      <c r="S9" s="80" t="b">
        <f>IF(R9&gt;1, TRUE, FALSE)</f>
        <v>0</v>
      </c>
      <c r="T9" s="14"/>
    </row>
    <row r="10" spans="1:22" x14ac:dyDescent="0.45">
      <c r="F10"/>
    </row>
    <row r="11" spans="1:22" s="31" customFormat="1" ht="42" customHeight="1" x14ac:dyDescent="0.45">
      <c r="A11" s="29" t="s">
        <v>341</v>
      </c>
      <c r="B11" s="27" t="s">
        <v>92</v>
      </c>
      <c r="C11" s="27" t="s">
        <v>93</v>
      </c>
      <c r="D11" s="27" t="s">
        <v>120</v>
      </c>
      <c r="E11" s="27" t="s">
        <v>121</v>
      </c>
      <c r="F11" s="27" t="s">
        <v>122</v>
      </c>
      <c r="G11" s="27" t="s">
        <v>266</v>
      </c>
      <c r="H11" s="27" t="s">
        <v>267</v>
      </c>
      <c r="I11" s="27" t="s">
        <v>318</v>
      </c>
      <c r="J11" s="30" t="s">
        <v>319</v>
      </c>
      <c r="K11" s="30" t="s">
        <v>320</v>
      </c>
      <c r="L11" s="30" t="s">
        <v>326</v>
      </c>
      <c r="M11" s="27" t="s">
        <v>264</v>
      </c>
      <c r="N11" s="30" t="s">
        <v>91</v>
      </c>
      <c r="O11" s="27" t="s">
        <v>265</v>
      </c>
      <c r="P11" s="1" t="s">
        <v>349</v>
      </c>
      <c r="Q11" s="1" t="s">
        <v>350</v>
      </c>
      <c r="R11" s="82" t="s">
        <v>348</v>
      </c>
      <c r="S11" s="83" t="s">
        <v>0</v>
      </c>
    </row>
    <row r="12" spans="1:22" x14ac:dyDescent="0.45">
      <c r="A12" s="42"/>
      <c r="B12" s="57" t="s">
        <v>533</v>
      </c>
      <c r="C12" s="57" t="s">
        <v>533</v>
      </c>
      <c r="D12" s="45">
        <v>1900</v>
      </c>
      <c r="E12" s="45">
        <v>2099</v>
      </c>
      <c r="F12" s="251"/>
      <c r="G12" s="251"/>
      <c r="H12" s="251"/>
      <c r="I12" s="79">
        <f t="shared" ref="I12:I75" si="0">G12*(2/3)+H12*(1/3)</f>
        <v>0</v>
      </c>
      <c r="J12" s="79" t="e">
        <f t="shared" ref="J12:J75" si="1">F12/I12</f>
        <v>#DIV/0!</v>
      </c>
      <c r="K12" s="58" t="e">
        <f t="shared" ref="K12:K75" si="2">J12*-4.25+112</f>
        <v>#DIV/0!</v>
      </c>
      <c r="L12" s="58"/>
      <c r="M12" s="79">
        <f t="shared" ref="M12:M75" si="3">(L12-60)/3*1.5</f>
        <v>-30</v>
      </c>
      <c r="N12" s="79" t="e">
        <f>IF(ISNUMBER(M12),M12+K12, 0)</f>
        <v>#DIV/0!</v>
      </c>
      <c r="O12" s="78" t="e">
        <f t="shared" ref="O12:O75" si="4">INDEX(Base_Classes, MATCH($N12, Base_Assessments, 1)+1)</f>
        <v>#DIV/0!</v>
      </c>
      <c r="P12" s="1" t="b">
        <f t="shared" ref="P12:P75" si="5">OR(R12,A12)</f>
        <v>0</v>
      </c>
      <c r="R12" s="43" t="b">
        <v>0</v>
      </c>
      <c r="U12" s="1" t="b">
        <f t="shared" ref="U12:U75" si="6">AND(P12,$S$9)</f>
        <v>0</v>
      </c>
      <c r="V12" s="46"/>
    </row>
    <row r="13" spans="1:22" x14ac:dyDescent="0.45">
      <c r="A13" s="42"/>
      <c r="B13" s="77" t="s">
        <v>124</v>
      </c>
      <c r="C13" s="77" t="s">
        <v>125</v>
      </c>
      <c r="D13" s="78">
        <v>1995</v>
      </c>
      <c r="E13" s="78">
        <v>2001</v>
      </c>
      <c r="F13" s="78">
        <v>2639</v>
      </c>
      <c r="G13" s="78">
        <v>195</v>
      </c>
      <c r="H13" s="78">
        <v>130</v>
      </c>
      <c r="I13" s="79">
        <f t="shared" si="0"/>
        <v>173.33333333333331</v>
      </c>
      <c r="J13" s="79">
        <f t="shared" si="1"/>
        <v>15.225000000000001</v>
      </c>
      <c r="K13" s="79">
        <f t="shared" si="2"/>
        <v>47.293749999999989</v>
      </c>
      <c r="L13" s="79">
        <v>70</v>
      </c>
      <c r="M13" s="79">
        <f t="shared" si="3"/>
        <v>5</v>
      </c>
      <c r="N13" s="79">
        <f t="shared" ref="N13:N76" si="7">M13+K13</f>
        <v>52.293749999999989</v>
      </c>
      <c r="O13" s="78" t="str">
        <f t="shared" si="4"/>
        <v>T50</v>
      </c>
      <c r="P13" s="1" t="b">
        <f t="shared" si="5"/>
        <v>0</v>
      </c>
      <c r="R13" s="43" t="b">
        <v>0</v>
      </c>
      <c r="T13" s="28">
        <f t="shared" ref="T13:T76" si="8">(L13-60)/3*1.5</f>
        <v>5</v>
      </c>
      <c r="U13" s="1" t="b">
        <f t="shared" si="6"/>
        <v>0</v>
      </c>
      <c r="V13" s="46"/>
    </row>
    <row r="14" spans="1:22" x14ac:dyDescent="0.45">
      <c r="A14" s="42"/>
      <c r="B14" s="77" t="s">
        <v>124</v>
      </c>
      <c r="C14" s="77" t="s">
        <v>126</v>
      </c>
      <c r="D14" s="78">
        <v>1991</v>
      </c>
      <c r="E14" s="78">
        <v>1992</v>
      </c>
      <c r="F14" s="78">
        <v>2976</v>
      </c>
      <c r="G14" s="78">
        <v>270</v>
      </c>
      <c r="H14" s="78">
        <v>210</v>
      </c>
      <c r="I14" s="79">
        <f t="shared" si="0"/>
        <v>250</v>
      </c>
      <c r="J14" s="79">
        <f t="shared" si="1"/>
        <v>11.904</v>
      </c>
      <c r="K14" s="79">
        <f t="shared" si="2"/>
        <v>61.408000000000001</v>
      </c>
      <c r="L14" s="79">
        <v>80</v>
      </c>
      <c r="M14" s="79">
        <f t="shared" si="3"/>
        <v>10</v>
      </c>
      <c r="N14" s="79">
        <f t="shared" si="7"/>
        <v>71.408000000000001</v>
      </c>
      <c r="O14" s="78" t="str">
        <f t="shared" si="4"/>
        <v>T70</v>
      </c>
      <c r="P14" s="1" t="b">
        <f t="shared" si="5"/>
        <v>0</v>
      </c>
      <c r="R14" s="43" t="b">
        <v>0</v>
      </c>
      <c r="T14" s="28">
        <f t="shared" si="8"/>
        <v>10</v>
      </c>
      <c r="U14" s="1" t="b">
        <f t="shared" si="6"/>
        <v>0</v>
      </c>
      <c r="V14" s="46"/>
    </row>
    <row r="15" spans="1:22" x14ac:dyDescent="0.45">
      <c r="A15" s="42"/>
      <c r="B15" s="77" t="s">
        <v>124</v>
      </c>
      <c r="C15" s="77" t="s">
        <v>126</v>
      </c>
      <c r="D15" s="78">
        <v>1993</v>
      </c>
      <c r="E15" s="78">
        <v>1997</v>
      </c>
      <c r="F15" s="78">
        <v>3093</v>
      </c>
      <c r="G15" s="78">
        <v>270</v>
      </c>
      <c r="H15" s="78">
        <v>210</v>
      </c>
      <c r="I15" s="79">
        <f t="shared" si="0"/>
        <v>250</v>
      </c>
      <c r="J15" s="79">
        <f t="shared" si="1"/>
        <v>12.372</v>
      </c>
      <c r="K15" s="79">
        <f t="shared" si="2"/>
        <v>59.418999999999997</v>
      </c>
      <c r="L15" s="79">
        <v>80</v>
      </c>
      <c r="M15" s="79">
        <f t="shared" si="3"/>
        <v>10</v>
      </c>
      <c r="N15" s="79">
        <f t="shared" si="7"/>
        <v>69.418999999999997</v>
      </c>
      <c r="O15" s="78" t="str">
        <f t="shared" si="4"/>
        <v>T60</v>
      </c>
      <c r="P15" s="1" t="b">
        <f t="shared" si="5"/>
        <v>0</v>
      </c>
      <c r="R15" s="43" t="b">
        <v>0</v>
      </c>
      <c r="T15" s="28">
        <f t="shared" si="8"/>
        <v>10</v>
      </c>
      <c r="U15" s="1" t="b">
        <f t="shared" si="6"/>
        <v>0</v>
      </c>
      <c r="V15" s="46"/>
    </row>
    <row r="16" spans="1:22" x14ac:dyDescent="0.45">
      <c r="A16" s="42"/>
      <c r="B16" s="77" t="s">
        <v>124</v>
      </c>
      <c r="C16" s="77" t="s">
        <v>126</v>
      </c>
      <c r="D16" s="78">
        <v>1998</v>
      </c>
      <c r="E16" s="78">
        <v>2001</v>
      </c>
      <c r="F16" s="78">
        <v>3160</v>
      </c>
      <c r="G16" s="78">
        <v>290</v>
      </c>
      <c r="H16" s="78">
        <v>224</v>
      </c>
      <c r="I16" s="79">
        <f t="shared" si="0"/>
        <v>268</v>
      </c>
      <c r="J16" s="79">
        <f t="shared" si="1"/>
        <v>11.791044776119403</v>
      </c>
      <c r="K16" s="79">
        <f t="shared" si="2"/>
        <v>61.888059701492537</v>
      </c>
      <c r="L16" s="79">
        <v>80</v>
      </c>
      <c r="M16" s="79">
        <f t="shared" si="3"/>
        <v>10</v>
      </c>
      <c r="N16" s="79">
        <f t="shared" si="7"/>
        <v>71.888059701492537</v>
      </c>
      <c r="O16" s="78" t="str">
        <f t="shared" si="4"/>
        <v>T70</v>
      </c>
      <c r="P16" s="1" t="b">
        <f t="shared" si="5"/>
        <v>0</v>
      </c>
      <c r="R16" s="43" t="b">
        <v>0</v>
      </c>
      <c r="T16" s="28">
        <f t="shared" si="8"/>
        <v>10</v>
      </c>
      <c r="U16" s="1" t="b">
        <f t="shared" si="6"/>
        <v>0</v>
      </c>
      <c r="V16" s="46"/>
    </row>
    <row r="17" spans="1:22" x14ac:dyDescent="0.45">
      <c r="A17" s="42"/>
      <c r="B17" s="77" t="s">
        <v>124</v>
      </c>
      <c r="C17" s="77" t="s">
        <v>126</v>
      </c>
      <c r="D17" s="78">
        <v>2002</v>
      </c>
      <c r="E17" s="78">
        <v>2005</v>
      </c>
      <c r="F17" s="78">
        <v>2954</v>
      </c>
      <c r="G17" s="78">
        <v>290</v>
      </c>
      <c r="H17" s="78">
        <v>224</v>
      </c>
      <c r="I17" s="79">
        <f t="shared" si="0"/>
        <v>268</v>
      </c>
      <c r="J17" s="79">
        <f t="shared" si="1"/>
        <v>11.022388059701493</v>
      </c>
      <c r="K17" s="79">
        <f t="shared" si="2"/>
        <v>65.154850746268664</v>
      </c>
      <c r="L17" s="79">
        <v>80</v>
      </c>
      <c r="M17" s="79">
        <f t="shared" si="3"/>
        <v>10</v>
      </c>
      <c r="N17" s="79">
        <f t="shared" si="7"/>
        <v>75.154850746268664</v>
      </c>
      <c r="O17" s="78" t="str">
        <f t="shared" si="4"/>
        <v>T70</v>
      </c>
      <c r="P17" s="1" t="b">
        <f t="shared" si="5"/>
        <v>0</v>
      </c>
      <c r="R17" s="43" t="b">
        <v>0</v>
      </c>
      <c r="T17" s="28">
        <f t="shared" si="8"/>
        <v>10</v>
      </c>
      <c r="U17" s="1" t="b">
        <f t="shared" si="6"/>
        <v>0</v>
      </c>
      <c r="V17" s="46"/>
    </row>
    <row r="18" spans="1:22" x14ac:dyDescent="0.45">
      <c r="A18" s="42"/>
      <c r="B18" s="89" t="s">
        <v>124</v>
      </c>
      <c r="C18" s="89" t="s">
        <v>126</v>
      </c>
      <c r="D18" s="84">
        <v>2017</v>
      </c>
      <c r="E18" s="84">
        <v>2022</v>
      </c>
      <c r="F18" s="84">
        <v>3854</v>
      </c>
      <c r="G18" s="84">
        <v>573</v>
      </c>
      <c r="H18" s="84">
        <v>476</v>
      </c>
      <c r="I18" s="85">
        <f t="shared" si="0"/>
        <v>540.66666666666663</v>
      </c>
      <c r="J18" s="85">
        <f t="shared" si="1"/>
        <v>7.1282367447595565</v>
      </c>
      <c r="K18" s="79">
        <f t="shared" si="2"/>
        <v>81.704993834771884</v>
      </c>
      <c r="L18" s="85">
        <v>105</v>
      </c>
      <c r="M18" s="79">
        <f t="shared" si="3"/>
        <v>22.5</v>
      </c>
      <c r="N18" s="85">
        <f t="shared" si="7"/>
        <v>104.20499383477188</v>
      </c>
      <c r="O18" s="78" t="str">
        <f t="shared" si="4"/>
        <v>T100</v>
      </c>
      <c r="P18" s="1" t="b">
        <f t="shared" si="5"/>
        <v>0</v>
      </c>
      <c r="R18" s="43" t="b">
        <v>0</v>
      </c>
      <c r="T18" s="28">
        <f t="shared" si="8"/>
        <v>22.5</v>
      </c>
      <c r="U18" s="1" t="b">
        <f t="shared" si="6"/>
        <v>0</v>
      </c>
      <c r="V18" s="46"/>
    </row>
    <row r="19" spans="1:22" x14ac:dyDescent="0.45">
      <c r="A19" s="42"/>
      <c r="B19" s="89" t="s">
        <v>124</v>
      </c>
      <c r="C19" s="89" t="s">
        <v>640</v>
      </c>
      <c r="D19" s="84">
        <v>2002</v>
      </c>
      <c r="E19" s="84"/>
      <c r="F19" s="84">
        <v>2767</v>
      </c>
      <c r="G19" s="84">
        <v>200</v>
      </c>
      <c r="H19" s="84">
        <v>142</v>
      </c>
      <c r="I19" s="85">
        <f t="shared" si="0"/>
        <v>180.66666666666663</v>
      </c>
      <c r="J19" s="85">
        <f t="shared" si="1"/>
        <v>15.315498154981553</v>
      </c>
      <c r="K19" s="79">
        <f t="shared" si="2"/>
        <v>46.9091328413284</v>
      </c>
      <c r="L19" s="85">
        <v>60</v>
      </c>
      <c r="M19" s="79">
        <f t="shared" si="3"/>
        <v>0</v>
      </c>
      <c r="N19" s="85">
        <f t="shared" si="7"/>
        <v>46.9091328413284</v>
      </c>
      <c r="O19" s="78" t="str">
        <f t="shared" si="4"/>
        <v>T40</v>
      </c>
      <c r="P19" s="1" t="b">
        <f t="shared" si="5"/>
        <v>0</v>
      </c>
      <c r="R19" s="43" t="b">
        <v>0</v>
      </c>
      <c r="T19" s="28">
        <f t="shared" si="8"/>
        <v>0</v>
      </c>
      <c r="U19" s="1" t="b">
        <f t="shared" si="6"/>
        <v>0</v>
      </c>
      <c r="V19" s="46"/>
    </row>
    <row r="20" spans="1:22" x14ac:dyDescent="0.45">
      <c r="A20" s="42"/>
      <c r="B20" s="77" t="s">
        <v>544</v>
      </c>
      <c r="C20" s="77" t="s">
        <v>545</v>
      </c>
      <c r="D20" s="78">
        <v>1974</v>
      </c>
      <c r="E20" s="78">
        <v>1976</v>
      </c>
      <c r="F20" s="78">
        <v>2320</v>
      </c>
      <c r="G20" s="78">
        <v>110</v>
      </c>
      <c r="H20" s="78">
        <v>110</v>
      </c>
      <c r="I20" s="79">
        <f t="shared" si="0"/>
        <v>110</v>
      </c>
      <c r="J20" s="79">
        <f t="shared" si="1"/>
        <v>21.09090909090909</v>
      </c>
      <c r="K20" s="79">
        <f t="shared" si="2"/>
        <v>22.363636363636374</v>
      </c>
      <c r="L20" s="79">
        <v>45</v>
      </c>
      <c r="M20" s="79">
        <f t="shared" si="3"/>
        <v>-7.5</v>
      </c>
      <c r="N20" s="79">
        <f t="shared" si="7"/>
        <v>14.863636363636374</v>
      </c>
      <c r="O20" s="78" t="str">
        <f t="shared" si="4"/>
        <v>T30</v>
      </c>
      <c r="P20" s="1" t="b">
        <f t="shared" si="5"/>
        <v>0</v>
      </c>
      <c r="R20" s="43" t="b">
        <v>0</v>
      </c>
      <c r="T20" s="28">
        <f t="shared" si="8"/>
        <v>-7.5</v>
      </c>
      <c r="U20" s="1" t="b">
        <f t="shared" si="6"/>
        <v>0</v>
      </c>
      <c r="V20" s="46"/>
    </row>
    <row r="21" spans="1:22" x14ac:dyDescent="0.45">
      <c r="A21" s="42"/>
      <c r="B21" s="90" t="s">
        <v>544</v>
      </c>
      <c r="C21" s="90" t="s">
        <v>570</v>
      </c>
      <c r="D21" s="86">
        <v>2017</v>
      </c>
      <c r="E21" s="86"/>
      <c r="F21" s="86">
        <v>3600</v>
      </c>
      <c r="G21" s="86">
        <v>280</v>
      </c>
      <c r="H21" s="86">
        <v>306</v>
      </c>
      <c r="I21" s="85">
        <f t="shared" si="0"/>
        <v>288.66666666666663</v>
      </c>
      <c r="J21" s="85">
        <f t="shared" si="1"/>
        <v>12.471131639722865</v>
      </c>
      <c r="K21" s="79">
        <f t="shared" si="2"/>
        <v>58.997690531177824</v>
      </c>
      <c r="L21" s="87">
        <v>60</v>
      </c>
      <c r="M21" s="79">
        <f t="shared" si="3"/>
        <v>0</v>
      </c>
      <c r="N21" s="79">
        <f t="shared" si="7"/>
        <v>58.997690531177824</v>
      </c>
      <c r="O21" s="78" t="str">
        <f t="shared" si="4"/>
        <v>T50</v>
      </c>
      <c r="P21" s="1" t="b">
        <f t="shared" si="5"/>
        <v>0</v>
      </c>
      <c r="R21" s="43" t="b">
        <v>0</v>
      </c>
      <c r="T21" s="28">
        <f t="shared" si="8"/>
        <v>0</v>
      </c>
      <c r="U21" s="1" t="b">
        <f t="shared" si="6"/>
        <v>0</v>
      </c>
      <c r="V21" s="46"/>
    </row>
    <row r="22" spans="1:22" x14ac:dyDescent="0.45">
      <c r="A22" s="42"/>
      <c r="B22" s="77" t="s">
        <v>127</v>
      </c>
      <c r="C22" s="77" t="s">
        <v>128</v>
      </c>
      <c r="D22" s="78">
        <v>2006</v>
      </c>
      <c r="E22" s="78">
        <v>2006</v>
      </c>
      <c r="F22" s="78">
        <v>1431</v>
      </c>
      <c r="G22" s="78">
        <v>245</v>
      </c>
      <c r="H22" s="78">
        <v>150</v>
      </c>
      <c r="I22" s="79">
        <f t="shared" si="0"/>
        <v>213.33333333333331</v>
      </c>
      <c r="J22" s="79">
        <f t="shared" si="1"/>
        <v>6.7078125000000002</v>
      </c>
      <c r="K22" s="79">
        <f t="shared" si="2"/>
        <v>83.491796875000006</v>
      </c>
      <c r="L22" s="79">
        <v>100</v>
      </c>
      <c r="M22" s="79">
        <f t="shared" si="3"/>
        <v>20</v>
      </c>
      <c r="N22" s="79">
        <f t="shared" si="7"/>
        <v>103.49179687500001</v>
      </c>
      <c r="O22" s="78" t="str">
        <f t="shared" si="4"/>
        <v>T100</v>
      </c>
      <c r="P22" s="1" t="b">
        <f t="shared" si="5"/>
        <v>0</v>
      </c>
      <c r="R22" s="43" t="b">
        <v>0</v>
      </c>
      <c r="T22" s="28">
        <f t="shared" si="8"/>
        <v>20</v>
      </c>
      <c r="U22" s="1" t="b">
        <f t="shared" si="6"/>
        <v>0</v>
      </c>
      <c r="V22" s="46"/>
    </row>
    <row r="23" spans="1:22" x14ac:dyDescent="0.45">
      <c r="A23" s="42"/>
      <c r="B23" s="77" t="s">
        <v>127</v>
      </c>
      <c r="C23" s="77" t="s">
        <v>367</v>
      </c>
      <c r="D23" s="78">
        <v>2008</v>
      </c>
      <c r="E23" s="78"/>
      <c r="F23" s="78">
        <v>1213</v>
      </c>
      <c r="G23" s="78">
        <v>500</v>
      </c>
      <c r="H23" s="78">
        <v>284</v>
      </c>
      <c r="I23" s="79">
        <f t="shared" si="0"/>
        <v>428</v>
      </c>
      <c r="J23" s="79">
        <f t="shared" si="1"/>
        <v>2.8341121495327104</v>
      </c>
      <c r="K23" s="79">
        <f t="shared" si="2"/>
        <v>99.955023364485982</v>
      </c>
      <c r="L23" s="79">
        <v>100</v>
      </c>
      <c r="M23" s="79">
        <f t="shared" si="3"/>
        <v>20</v>
      </c>
      <c r="N23" s="79">
        <f t="shared" si="7"/>
        <v>119.95502336448598</v>
      </c>
      <c r="O23" s="78" t="str">
        <f t="shared" si="4"/>
        <v>T110</v>
      </c>
      <c r="P23" s="1" t="b">
        <f t="shared" si="5"/>
        <v>0</v>
      </c>
      <c r="R23" s="43" t="b">
        <v>0</v>
      </c>
      <c r="T23" s="28">
        <f t="shared" si="8"/>
        <v>20</v>
      </c>
      <c r="U23" s="1" t="b">
        <f t="shared" si="6"/>
        <v>0</v>
      </c>
      <c r="V23" s="46"/>
    </row>
    <row r="24" spans="1:22" x14ac:dyDescent="0.45">
      <c r="A24" s="42"/>
      <c r="B24" s="77" t="s">
        <v>368</v>
      </c>
      <c r="C24" s="77" t="s">
        <v>369</v>
      </c>
      <c r="D24" s="78">
        <v>1963</v>
      </c>
      <c r="E24" s="78">
        <v>1965</v>
      </c>
      <c r="F24" s="78">
        <v>3310</v>
      </c>
      <c r="G24" s="78">
        <v>282</v>
      </c>
      <c r="H24" s="78">
        <v>288</v>
      </c>
      <c r="I24" s="79">
        <f t="shared" si="0"/>
        <v>284</v>
      </c>
      <c r="J24" s="79">
        <f t="shared" si="1"/>
        <v>11.654929577464788</v>
      </c>
      <c r="K24" s="79">
        <f t="shared" si="2"/>
        <v>62.466549295774648</v>
      </c>
      <c r="L24" s="79">
        <v>40</v>
      </c>
      <c r="M24" s="79">
        <f t="shared" si="3"/>
        <v>-10</v>
      </c>
      <c r="N24" s="79">
        <f t="shared" si="7"/>
        <v>52.466549295774648</v>
      </c>
      <c r="O24" s="78" t="str">
        <f t="shared" si="4"/>
        <v>T50</v>
      </c>
      <c r="P24" s="1" t="b">
        <f t="shared" si="5"/>
        <v>0</v>
      </c>
      <c r="R24" s="43" t="b">
        <v>0</v>
      </c>
      <c r="T24" s="28">
        <f t="shared" si="8"/>
        <v>-10</v>
      </c>
      <c r="U24" s="1" t="b">
        <f t="shared" si="6"/>
        <v>0</v>
      </c>
      <c r="V24" s="46"/>
    </row>
    <row r="25" spans="1:22" x14ac:dyDescent="0.45">
      <c r="A25" s="42"/>
      <c r="B25" s="77" t="s">
        <v>368</v>
      </c>
      <c r="C25" s="77" t="s">
        <v>370</v>
      </c>
      <c r="D25" s="78">
        <v>2007</v>
      </c>
      <c r="E25" s="78">
        <v>2012</v>
      </c>
      <c r="F25" s="78">
        <v>3740</v>
      </c>
      <c r="G25" s="78">
        <v>510</v>
      </c>
      <c r="H25" s="78">
        <v>420</v>
      </c>
      <c r="I25" s="79">
        <f t="shared" si="0"/>
        <v>480</v>
      </c>
      <c r="J25" s="79">
        <f t="shared" si="1"/>
        <v>7.791666666666667</v>
      </c>
      <c r="K25" s="79">
        <f t="shared" si="2"/>
        <v>78.885416666666657</v>
      </c>
      <c r="L25" s="79">
        <v>80</v>
      </c>
      <c r="M25" s="79">
        <f t="shared" si="3"/>
        <v>10</v>
      </c>
      <c r="N25" s="79">
        <f t="shared" si="7"/>
        <v>88.885416666666657</v>
      </c>
      <c r="O25" s="78" t="str">
        <f t="shared" si="4"/>
        <v>T80</v>
      </c>
      <c r="P25" s="1" t="b">
        <f t="shared" si="5"/>
        <v>0</v>
      </c>
      <c r="R25" s="43" t="b">
        <v>0</v>
      </c>
      <c r="T25" s="28">
        <f t="shared" si="8"/>
        <v>10</v>
      </c>
      <c r="U25" s="1" t="b">
        <f t="shared" si="6"/>
        <v>0</v>
      </c>
      <c r="V25" s="46"/>
    </row>
    <row r="26" spans="1:22" x14ac:dyDescent="0.45">
      <c r="A26" s="42"/>
      <c r="B26" s="89" t="s">
        <v>368</v>
      </c>
      <c r="C26" s="89" t="s">
        <v>558</v>
      </c>
      <c r="D26" s="84">
        <v>2012</v>
      </c>
      <c r="E26" s="84"/>
      <c r="F26" s="84">
        <v>3595</v>
      </c>
      <c r="G26" s="84">
        <v>420</v>
      </c>
      <c r="H26" s="84">
        <v>346</v>
      </c>
      <c r="I26" s="85">
        <f t="shared" si="0"/>
        <v>395.33333333333331</v>
      </c>
      <c r="J26" s="85">
        <f t="shared" si="1"/>
        <v>9.0935919055649244</v>
      </c>
      <c r="K26" s="79">
        <f t="shared" si="2"/>
        <v>73.352234401349079</v>
      </c>
      <c r="L26" s="85">
        <v>80</v>
      </c>
      <c r="M26" s="79">
        <f t="shared" si="3"/>
        <v>10</v>
      </c>
      <c r="N26" s="85">
        <f t="shared" si="7"/>
        <v>83.352234401349079</v>
      </c>
      <c r="O26" s="78" t="str">
        <f t="shared" si="4"/>
        <v>T80</v>
      </c>
      <c r="P26" s="1" t="b">
        <f t="shared" si="5"/>
        <v>0</v>
      </c>
      <c r="R26" s="43" t="b">
        <v>0</v>
      </c>
      <c r="T26" s="28">
        <f t="shared" si="8"/>
        <v>10</v>
      </c>
      <c r="U26" s="1" t="b">
        <f t="shared" si="6"/>
        <v>0</v>
      </c>
      <c r="V26" s="46"/>
    </row>
    <row r="27" spans="1:22" x14ac:dyDescent="0.45">
      <c r="A27" s="42"/>
      <c r="B27" s="77" t="s">
        <v>129</v>
      </c>
      <c r="C27" s="77" t="s">
        <v>130</v>
      </c>
      <c r="D27" s="78">
        <v>1996</v>
      </c>
      <c r="E27" s="78">
        <v>2001</v>
      </c>
      <c r="F27" s="78">
        <v>3241</v>
      </c>
      <c r="G27" s="78">
        <v>150</v>
      </c>
      <c r="H27" s="78">
        <v>155</v>
      </c>
      <c r="I27" s="79">
        <f t="shared" si="0"/>
        <v>151.66666666666666</v>
      </c>
      <c r="J27" s="79">
        <f t="shared" si="1"/>
        <v>21.369230769230771</v>
      </c>
      <c r="K27" s="79">
        <f t="shared" si="2"/>
        <v>21.180769230769215</v>
      </c>
      <c r="L27" s="79">
        <v>60</v>
      </c>
      <c r="M27" s="79">
        <f t="shared" si="3"/>
        <v>0</v>
      </c>
      <c r="N27" s="79">
        <f t="shared" si="7"/>
        <v>21.180769230769215</v>
      </c>
      <c r="O27" s="78" t="str">
        <f t="shared" si="4"/>
        <v>T30</v>
      </c>
      <c r="P27" s="1" t="b">
        <f t="shared" si="5"/>
        <v>0</v>
      </c>
      <c r="R27" s="43" t="b">
        <v>0</v>
      </c>
      <c r="T27" s="28">
        <f t="shared" si="8"/>
        <v>0</v>
      </c>
      <c r="U27" s="1" t="b">
        <f t="shared" si="6"/>
        <v>0</v>
      </c>
      <c r="V27" s="46"/>
    </row>
    <row r="28" spans="1:22" x14ac:dyDescent="0.45">
      <c r="A28" s="42"/>
      <c r="B28" s="77" t="s">
        <v>129</v>
      </c>
      <c r="C28" s="77" t="s">
        <v>131</v>
      </c>
      <c r="D28" s="78">
        <v>2005</v>
      </c>
      <c r="E28" s="78">
        <v>2005</v>
      </c>
      <c r="F28" s="78">
        <v>3517</v>
      </c>
      <c r="G28" s="78">
        <v>200</v>
      </c>
      <c r="H28" s="78">
        <v>207</v>
      </c>
      <c r="I28" s="79">
        <f t="shared" si="0"/>
        <v>202.33333333333331</v>
      </c>
      <c r="J28" s="79">
        <f t="shared" si="1"/>
        <v>17.382207578253709</v>
      </c>
      <c r="K28" s="79">
        <f t="shared" si="2"/>
        <v>38.125617792421735</v>
      </c>
      <c r="L28" s="79">
        <v>60</v>
      </c>
      <c r="M28" s="79">
        <f t="shared" si="3"/>
        <v>0</v>
      </c>
      <c r="N28" s="79">
        <f t="shared" si="7"/>
        <v>38.125617792421735</v>
      </c>
      <c r="O28" s="78" t="str">
        <f t="shared" si="4"/>
        <v>T30</v>
      </c>
      <c r="P28" s="1" t="b">
        <f t="shared" si="5"/>
        <v>0</v>
      </c>
      <c r="R28" s="43" t="b">
        <v>0</v>
      </c>
      <c r="T28" s="28">
        <f t="shared" si="8"/>
        <v>0</v>
      </c>
      <c r="U28" s="1" t="b">
        <f t="shared" si="6"/>
        <v>0</v>
      </c>
      <c r="V28" s="46"/>
    </row>
    <row r="29" spans="1:22" x14ac:dyDescent="0.45">
      <c r="A29" s="42"/>
      <c r="B29" s="77" t="s">
        <v>129</v>
      </c>
      <c r="C29" s="77" t="s">
        <v>131</v>
      </c>
      <c r="D29" s="78">
        <v>2006</v>
      </c>
      <c r="E29" s="78">
        <v>2008</v>
      </c>
      <c r="F29" s="78">
        <v>3549</v>
      </c>
      <c r="G29" s="78">
        <v>200</v>
      </c>
      <c r="H29" s="78">
        <v>207</v>
      </c>
      <c r="I29" s="79">
        <f t="shared" si="0"/>
        <v>202.33333333333331</v>
      </c>
      <c r="J29" s="79">
        <f t="shared" si="1"/>
        <v>17.540362438220761</v>
      </c>
      <c r="K29" s="79">
        <f t="shared" si="2"/>
        <v>37.453459637561764</v>
      </c>
      <c r="L29" s="79">
        <v>60</v>
      </c>
      <c r="M29" s="79">
        <f t="shared" si="3"/>
        <v>0</v>
      </c>
      <c r="N29" s="79">
        <f t="shared" si="7"/>
        <v>37.453459637561764</v>
      </c>
      <c r="O29" s="78" t="str">
        <f t="shared" si="4"/>
        <v>T30</v>
      </c>
      <c r="P29" s="1" t="b">
        <f t="shared" si="5"/>
        <v>0</v>
      </c>
      <c r="R29" s="43" t="b">
        <v>0</v>
      </c>
      <c r="T29" s="28">
        <f t="shared" si="8"/>
        <v>0</v>
      </c>
      <c r="U29" s="1" t="b">
        <f t="shared" si="6"/>
        <v>0</v>
      </c>
      <c r="V29" s="46"/>
    </row>
    <row r="30" spans="1:22" x14ac:dyDescent="0.45">
      <c r="A30" s="42"/>
      <c r="B30" s="77" t="s">
        <v>129</v>
      </c>
      <c r="C30" s="77" t="s">
        <v>132</v>
      </c>
      <c r="D30" s="78">
        <v>1996</v>
      </c>
      <c r="E30" s="78">
        <v>2001</v>
      </c>
      <c r="F30" s="78">
        <v>3384</v>
      </c>
      <c r="G30" s="78">
        <v>190</v>
      </c>
      <c r="H30" s="78">
        <v>207</v>
      </c>
      <c r="I30" s="79">
        <f t="shared" si="0"/>
        <v>195.66666666666666</v>
      </c>
      <c r="J30" s="79">
        <f t="shared" si="1"/>
        <v>17.294718909710394</v>
      </c>
      <c r="K30" s="79">
        <f t="shared" si="2"/>
        <v>38.497444633730822</v>
      </c>
      <c r="L30" s="79">
        <v>60</v>
      </c>
      <c r="M30" s="79">
        <f t="shared" si="3"/>
        <v>0</v>
      </c>
      <c r="N30" s="79">
        <f t="shared" si="7"/>
        <v>38.497444633730822</v>
      </c>
      <c r="O30" s="78" t="str">
        <f t="shared" si="4"/>
        <v>T30</v>
      </c>
      <c r="P30" s="1" t="b">
        <f t="shared" si="5"/>
        <v>0</v>
      </c>
      <c r="R30" s="43" t="b">
        <v>0</v>
      </c>
      <c r="T30" s="28">
        <f t="shared" si="8"/>
        <v>0</v>
      </c>
      <c r="U30" s="1" t="b">
        <f t="shared" si="6"/>
        <v>0</v>
      </c>
      <c r="V30" s="46"/>
    </row>
    <row r="31" spans="1:22" x14ac:dyDescent="0.45">
      <c r="A31" s="42"/>
      <c r="B31" s="77" t="s">
        <v>129</v>
      </c>
      <c r="C31" s="77" t="s">
        <v>133</v>
      </c>
      <c r="D31" s="78">
        <v>2002</v>
      </c>
      <c r="E31" s="78">
        <v>2005</v>
      </c>
      <c r="F31" s="78">
        <v>3583</v>
      </c>
      <c r="G31" s="78">
        <v>220</v>
      </c>
      <c r="H31" s="78">
        <v>221</v>
      </c>
      <c r="I31" s="79">
        <f t="shared" si="0"/>
        <v>220.33333333333331</v>
      </c>
      <c r="J31" s="79">
        <f t="shared" si="1"/>
        <v>16.261724659606656</v>
      </c>
      <c r="K31" s="79">
        <f t="shared" si="2"/>
        <v>42.887670196671706</v>
      </c>
      <c r="L31" s="79">
        <v>60</v>
      </c>
      <c r="M31" s="79">
        <f t="shared" si="3"/>
        <v>0</v>
      </c>
      <c r="N31" s="79">
        <f t="shared" si="7"/>
        <v>42.887670196671706</v>
      </c>
      <c r="O31" s="78" t="str">
        <f t="shared" si="4"/>
        <v>T40</v>
      </c>
      <c r="P31" s="1" t="b">
        <f t="shared" si="5"/>
        <v>0</v>
      </c>
      <c r="R31" s="43" t="b">
        <v>0</v>
      </c>
      <c r="T31" s="28">
        <f t="shared" si="8"/>
        <v>0</v>
      </c>
      <c r="U31" s="1" t="b">
        <f t="shared" si="6"/>
        <v>0</v>
      </c>
      <c r="V31" s="46"/>
    </row>
    <row r="32" spans="1:22" x14ac:dyDescent="0.45">
      <c r="A32" s="42"/>
      <c r="B32" s="77" t="s">
        <v>129</v>
      </c>
      <c r="C32" s="77" t="s">
        <v>134</v>
      </c>
      <c r="D32" s="78">
        <v>2006</v>
      </c>
      <c r="E32" s="78">
        <v>2006</v>
      </c>
      <c r="F32" s="78">
        <v>3649</v>
      </c>
      <c r="G32" s="78">
        <v>255</v>
      </c>
      <c r="H32" s="78">
        <v>243</v>
      </c>
      <c r="I32" s="79">
        <f t="shared" si="0"/>
        <v>251</v>
      </c>
      <c r="J32" s="79">
        <f t="shared" si="1"/>
        <v>14.53784860557769</v>
      </c>
      <c r="K32" s="79">
        <f t="shared" si="2"/>
        <v>50.214143426294818</v>
      </c>
      <c r="L32" s="79">
        <v>60</v>
      </c>
      <c r="M32" s="79">
        <f t="shared" si="3"/>
        <v>0</v>
      </c>
      <c r="N32" s="79">
        <f t="shared" si="7"/>
        <v>50.214143426294818</v>
      </c>
      <c r="O32" s="78" t="str">
        <f t="shared" si="4"/>
        <v>T50</v>
      </c>
      <c r="P32" s="1" t="b">
        <f t="shared" si="5"/>
        <v>0</v>
      </c>
      <c r="R32" s="43" t="b">
        <v>0</v>
      </c>
      <c r="T32" s="28">
        <f t="shared" si="8"/>
        <v>0</v>
      </c>
      <c r="U32" s="1" t="b">
        <f t="shared" si="6"/>
        <v>0</v>
      </c>
      <c r="V32" s="46"/>
    </row>
    <row r="33" spans="1:22" x14ac:dyDescent="0.45">
      <c r="A33" s="42"/>
      <c r="B33" s="77" t="s">
        <v>129</v>
      </c>
      <c r="C33" s="77" t="s">
        <v>547</v>
      </c>
      <c r="D33" s="78">
        <v>1998</v>
      </c>
      <c r="E33" s="78">
        <v>2006</v>
      </c>
      <c r="F33" s="78">
        <v>2910</v>
      </c>
      <c r="G33" s="78">
        <v>180</v>
      </c>
      <c r="H33" s="78">
        <v>173</v>
      </c>
      <c r="I33" s="79">
        <f t="shared" si="0"/>
        <v>177.66666666666666</v>
      </c>
      <c r="J33" s="79">
        <f t="shared" si="1"/>
        <v>16.378986866791745</v>
      </c>
      <c r="K33" s="79">
        <f t="shared" si="2"/>
        <v>42.389305816135078</v>
      </c>
      <c r="L33" s="79">
        <v>60</v>
      </c>
      <c r="M33" s="79">
        <f t="shared" si="3"/>
        <v>0</v>
      </c>
      <c r="N33" s="79">
        <f t="shared" si="7"/>
        <v>42.389305816135078</v>
      </c>
      <c r="O33" s="78" t="str">
        <f t="shared" si="4"/>
        <v>T40</v>
      </c>
      <c r="P33" s="1" t="b">
        <f t="shared" si="5"/>
        <v>0</v>
      </c>
      <c r="R33" s="43" t="b">
        <v>0</v>
      </c>
      <c r="T33" s="28">
        <f t="shared" si="8"/>
        <v>0</v>
      </c>
      <c r="U33" s="1" t="b">
        <f t="shared" si="6"/>
        <v>0</v>
      </c>
      <c r="V33" s="46"/>
    </row>
    <row r="34" spans="1:22" x14ac:dyDescent="0.45">
      <c r="A34" s="42"/>
      <c r="B34" s="77" t="s">
        <v>129</v>
      </c>
      <c r="C34" s="77" t="s">
        <v>135</v>
      </c>
      <c r="D34" s="78">
        <v>1987</v>
      </c>
      <c r="E34" s="78">
        <v>1987</v>
      </c>
      <c r="F34" s="78">
        <v>2507</v>
      </c>
      <c r="G34" s="78">
        <v>134</v>
      </c>
      <c r="H34" s="78">
        <v>137</v>
      </c>
      <c r="I34" s="79">
        <f t="shared" si="0"/>
        <v>135</v>
      </c>
      <c r="J34" s="79">
        <f t="shared" si="1"/>
        <v>18.57037037037037</v>
      </c>
      <c r="K34" s="79">
        <f t="shared" si="2"/>
        <v>33.07592592592593</v>
      </c>
      <c r="L34" s="79">
        <v>30</v>
      </c>
      <c r="M34" s="79">
        <f t="shared" si="3"/>
        <v>-15</v>
      </c>
      <c r="N34" s="79">
        <f t="shared" si="7"/>
        <v>18.07592592592593</v>
      </c>
      <c r="O34" s="78" t="str">
        <f t="shared" si="4"/>
        <v>T30</v>
      </c>
      <c r="P34" s="1" t="b">
        <f t="shared" si="5"/>
        <v>0</v>
      </c>
      <c r="R34" s="43" t="b">
        <v>0</v>
      </c>
      <c r="T34" s="28">
        <f t="shared" si="8"/>
        <v>-15</v>
      </c>
      <c r="U34" s="1" t="b">
        <f t="shared" si="6"/>
        <v>0</v>
      </c>
      <c r="V34" s="46"/>
    </row>
    <row r="35" spans="1:22" x14ac:dyDescent="0.45">
      <c r="A35" s="42"/>
      <c r="B35" s="77" t="s">
        <v>129</v>
      </c>
      <c r="C35" s="77" t="s">
        <v>269</v>
      </c>
      <c r="D35" s="78">
        <v>2006</v>
      </c>
      <c r="E35" s="78"/>
      <c r="F35" s="78">
        <v>3583</v>
      </c>
      <c r="G35" s="78">
        <v>518</v>
      </c>
      <c r="H35" s="78">
        <v>391</v>
      </c>
      <c r="I35" s="79">
        <f t="shared" si="0"/>
        <v>475.66666666666663</v>
      </c>
      <c r="J35" s="79">
        <f t="shared" si="1"/>
        <v>7.5325858444288727</v>
      </c>
      <c r="K35" s="79">
        <f t="shared" si="2"/>
        <v>79.986510161177293</v>
      </c>
      <c r="L35" s="79">
        <v>90</v>
      </c>
      <c r="M35" s="79">
        <f t="shared" si="3"/>
        <v>15</v>
      </c>
      <c r="N35" s="79">
        <f t="shared" si="7"/>
        <v>94.986510161177293</v>
      </c>
      <c r="O35" s="78" t="str">
        <f t="shared" si="4"/>
        <v>T90</v>
      </c>
      <c r="P35" s="1" t="b">
        <f t="shared" si="5"/>
        <v>0</v>
      </c>
      <c r="R35" s="43" t="b">
        <v>0</v>
      </c>
      <c r="T35" s="28">
        <f t="shared" si="8"/>
        <v>15</v>
      </c>
      <c r="U35" s="1" t="b">
        <f t="shared" si="6"/>
        <v>0</v>
      </c>
      <c r="V35" s="46"/>
    </row>
    <row r="36" spans="1:22" x14ac:dyDescent="0.45">
      <c r="A36" s="42"/>
      <c r="B36" s="77" t="s">
        <v>129</v>
      </c>
      <c r="C36" s="77" t="s">
        <v>268</v>
      </c>
      <c r="D36" s="78">
        <v>2006</v>
      </c>
      <c r="E36" s="78"/>
      <c r="F36" s="78">
        <v>3450</v>
      </c>
      <c r="G36" s="78">
        <v>414</v>
      </c>
      <c r="H36" s="78">
        <v>317</v>
      </c>
      <c r="I36" s="79">
        <f t="shared" si="0"/>
        <v>381.66666666666663</v>
      </c>
      <c r="J36" s="79">
        <f t="shared" si="1"/>
        <v>9.039301310043669</v>
      </c>
      <c r="K36" s="79">
        <f t="shared" si="2"/>
        <v>73.5829694323144</v>
      </c>
      <c r="L36" s="79">
        <v>90</v>
      </c>
      <c r="M36" s="79">
        <f t="shared" si="3"/>
        <v>15</v>
      </c>
      <c r="N36" s="79">
        <f t="shared" si="7"/>
        <v>88.5829694323144</v>
      </c>
      <c r="O36" s="78" t="str">
        <f t="shared" si="4"/>
        <v>T80</v>
      </c>
      <c r="P36" s="1" t="b">
        <f t="shared" si="5"/>
        <v>0</v>
      </c>
      <c r="R36" s="43" t="b">
        <v>0</v>
      </c>
      <c r="T36" s="28">
        <f t="shared" si="8"/>
        <v>15</v>
      </c>
      <c r="U36" s="1" t="b">
        <f t="shared" si="6"/>
        <v>0</v>
      </c>
      <c r="V36" s="46"/>
    </row>
    <row r="37" spans="1:22" x14ac:dyDescent="0.45">
      <c r="A37" s="42"/>
      <c r="B37" s="77" t="s">
        <v>129</v>
      </c>
      <c r="C37" s="77" t="s">
        <v>136</v>
      </c>
      <c r="D37" s="78">
        <v>1991</v>
      </c>
      <c r="E37" s="78">
        <v>1994</v>
      </c>
      <c r="F37" s="78">
        <v>3814</v>
      </c>
      <c r="G37" s="78">
        <v>227</v>
      </c>
      <c r="H37" s="78">
        <v>258</v>
      </c>
      <c r="I37" s="79">
        <f t="shared" si="0"/>
        <v>237.33333333333331</v>
      </c>
      <c r="J37" s="79">
        <f t="shared" si="1"/>
        <v>16.070224719101123</v>
      </c>
      <c r="K37" s="79">
        <f t="shared" si="2"/>
        <v>43.701544943820224</v>
      </c>
      <c r="L37" s="79">
        <v>55</v>
      </c>
      <c r="M37" s="79">
        <f t="shared" si="3"/>
        <v>-2.5</v>
      </c>
      <c r="N37" s="79">
        <f t="shared" si="7"/>
        <v>41.201544943820224</v>
      </c>
      <c r="O37" s="78" t="str">
        <f t="shared" si="4"/>
        <v>T40</v>
      </c>
      <c r="P37" s="1" t="b">
        <f t="shared" si="5"/>
        <v>0</v>
      </c>
      <c r="R37" s="43" t="b">
        <v>0</v>
      </c>
      <c r="T37" s="28">
        <f t="shared" si="8"/>
        <v>-2.5</v>
      </c>
      <c r="U37" s="1" t="b">
        <f t="shared" si="6"/>
        <v>0</v>
      </c>
      <c r="V37" s="46"/>
    </row>
    <row r="38" spans="1:22" x14ac:dyDescent="0.45">
      <c r="A38" s="42"/>
      <c r="B38" s="77" t="s">
        <v>129</v>
      </c>
      <c r="C38" s="77" t="s">
        <v>136</v>
      </c>
      <c r="D38" s="78">
        <v>1998</v>
      </c>
      <c r="E38" s="78">
        <v>2001</v>
      </c>
      <c r="F38" s="78">
        <v>3594</v>
      </c>
      <c r="G38" s="78">
        <v>250</v>
      </c>
      <c r="H38" s="78">
        <v>258</v>
      </c>
      <c r="I38" s="79">
        <f t="shared" si="0"/>
        <v>252.66666666666666</v>
      </c>
      <c r="J38" s="79">
        <f t="shared" si="1"/>
        <v>14.224274406332455</v>
      </c>
      <c r="K38" s="79">
        <f t="shared" si="2"/>
        <v>51.546833773087066</v>
      </c>
      <c r="L38" s="79">
        <v>65</v>
      </c>
      <c r="M38" s="79">
        <f t="shared" si="3"/>
        <v>2.5</v>
      </c>
      <c r="N38" s="79">
        <f t="shared" si="7"/>
        <v>54.046833773087066</v>
      </c>
      <c r="O38" s="78" t="str">
        <f t="shared" si="4"/>
        <v>T50</v>
      </c>
      <c r="P38" s="1" t="b">
        <f t="shared" si="5"/>
        <v>0</v>
      </c>
      <c r="R38" s="43" t="b">
        <v>0</v>
      </c>
      <c r="T38" s="28">
        <f t="shared" si="8"/>
        <v>2.5</v>
      </c>
      <c r="U38" s="1" t="b">
        <f t="shared" si="6"/>
        <v>0</v>
      </c>
      <c r="V38" s="46"/>
    </row>
    <row r="39" spans="1:22" x14ac:dyDescent="0.45">
      <c r="A39" s="42"/>
      <c r="B39" s="77" t="s">
        <v>129</v>
      </c>
      <c r="C39" s="77" t="s">
        <v>136</v>
      </c>
      <c r="D39" s="78">
        <v>2003</v>
      </c>
      <c r="E39" s="78">
        <v>2005</v>
      </c>
      <c r="F39" s="78">
        <v>3660</v>
      </c>
      <c r="G39" s="78">
        <v>340</v>
      </c>
      <c r="H39" s="78">
        <v>302</v>
      </c>
      <c r="I39" s="79">
        <f t="shared" si="0"/>
        <v>327.33333333333331</v>
      </c>
      <c r="J39" s="79">
        <f t="shared" si="1"/>
        <v>11.181262729124237</v>
      </c>
      <c r="K39" s="79">
        <f t="shared" si="2"/>
        <v>64.479633401222003</v>
      </c>
      <c r="L39" s="79">
        <v>65</v>
      </c>
      <c r="M39" s="79">
        <f t="shared" si="3"/>
        <v>2.5</v>
      </c>
      <c r="N39" s="79">
        <f t="shared" si="7"/>
        <v>66.979633401222003</v>
      </c>
      <c r="O39" s="78" t="str">
        <f t="shared" si="4"/>
        <v>T60</v>
      </c>
      <c r="P39" s="1" t="b">
        <f t="shared" si="5"/>
        <v>0</v>
      </c>
      <c r="R39" s="43" t="b">
        <v>0</v>
      </c>
      <c r="T39" s="28">
        <f t="shared" si="8"/>
        <v>2.5</v>
      </c>
      <c r="U39" s="1" t="b">
        <f t="shared" si="6"/>
        <v>0</v>
      </c>
      <c r="V39" s="46"/>
    </row>
    <row r="40" spans="1:22" x14ac:dyDescent="0.45">
      <c r="A40" s="42"/>
      <c r="B40" s="77" t="s">
        <v>129</v>
      </c>
      <c r="C40" s="77" t="s">
        <v>136</v>
      </c>
      <c r="D40" s="78">
        <v>2006</v>
      </c>
      <c r="E40" s="78">
        <v>2008</v>
      </c>
      <c r="F40" s="78">
        <v>3869</v>
      </c>
      <c r="G40" s="78">
        <v>340</v>
      </c>
      <c r="H40" s="78">
        <v>302</v>
      </c>
      <c r="I40" s="79">
        <f t="shared" si="0"/>
        <v>327.33333333333331</v>
      </c>
      <c r="J40" s="79">
        <f t="shared" si="1"/>
        <v>11.819755600814664</v>
      </c>
      <c r="K40" s="79">
        <f t="shared" si="2"/>
        <v>61.766038696537677</v>
      </c>
      <c r="L40" s="79">
        <v>65</v>
      </c>
      <c r="M40" s="79">
        <f t="shared" si="3"/>
        <v>2.5</v>
      </c>
      <c r="N40" s="79">
        <f t="shared" si="7"/>
        <v>64.266038696537677</v>
      </c>
      <c r="O40" s="78" t="str">
        <f t="shared" si="4"/>
        <v>T60</v>
      </c>
      <c r="P40" s="1" t="b">
        <f t="shared" si="5"/>
        <v>0</v>
      </c>
      <c r="R40" s="43" t="b">
        <v>0</v>
      </c>
      <c r="T40" s="28">
        <f t="shared" si="8"/>
        <v>2.5</v>
      </c>
      <c r="U40" s="1" t="b">
        <f t="shared" si="6"/>
        <v>0</v>
      </c>
      <c r="V40" s="46"/>
    </row>
    <row r="41" spans="1:22" x14ac:dyDescent="0.45">
      <c r="A41" s="42"/>
      <c r="B41" s="77" t="s">
        <v>129</v>
      </c>
      <c r="C41" s="77" t="s">
        <v>136</v>
      </c>
      <c r="D41" s="78">
        <v>2009</v>
      </c>
      <c r="E41" s="78"/>
      <c r="F41" s="78">
        <v>3637</v>
      </c>
      <c r="G41" s="78">
        <v>333</v>
      </c>
      <c r="H41" s="78">
        <v>325</v>
      </c>
      <c r="I41" s="79">
        <f t="shared" si="0"/>
        <v>330.33333333333331</v>
      </c>
      <c r="J41" s="79">
        <f t="shared" si="1"/>
        <v>11.010090817356206</v>
      </c>
      <c r="K41" s="79">
        <f t="shared" si="2"/>
        <v>65.207114026236127</v>
      </c>
      <c r="L41" s="79">
        <v>70</v>
      </c>
      <c r="M41" s="79">
        <f t="shared" si="3"/>
        <v>5</v>
      </c>
      <c r="N41" s="79">
        <f t="shared" si="7"/>
        <v>70.207114026236127</v>
      </c>
      <c r="O41" s="78" t="str">
        <f t="shared" si="4"/>
        <v>T70</v>
      </c>
      <c r="P41" s="1" t="b">
        <f t="shared" si="5"/>
        <v>0</v>
      </c>
      <c r="R41" s="43" t="b">
        <v>0</v>
      </c>
      <c r="T41" s="28">
        <f t="shared" si="8"/>
        <v>5</v>
      </c>
      <c r="U41" s="1" t="b">
        <f t="shared" si="6"/>
        <v>0</v>
      </c>
      <c r="V41" s="46"/>
    </row>
    <row r="42" spans="1:22" x14ac:dyDescent="0.45">
      <c r="A42" s="42"/>
      <c r="B42" s="77" t="s">
        <v>129</v>
      </c>
      <c r="C42" s="77" t="s">
        <v>270</v>
      </c>
      <c r="D42" s="78">
        <v>1999</v>
      </c>
      <c r="E42" s="78">
        <v>2003</v>
      </c>
      <c r="F42" s="78">
        <v>4024</v>
      </c>
      <c r="G42" s="78">
        <v>340</v>
      </c>
      <c r="H42" s="78">
        <v>310</v>
      </c>
      <c r="I42" s="79">
        <f t="shared" si="0"/>
        <v>330</v>
      </c>
      <c r="J42" s="79">
        <f t="shared" si="1"/>
        <v>12.193939393939393</v>
      </c>
      <c r="K42" s="79">
        <f t="shared" si="2"/>
        <v>60.175757575757579</v>
      </c>
      <c r="L42" s="79">
        <v>60</v>
      </c>
      <c r="M42" s="79">
        <f t="shared" si="3"/>
        <v>0</v>
      </c>
      <c r="N42" s="79">
        <f t="shared" si="7"/>
        <v>60.175757575757579</v>
      </c>
      <c r="O42" s="78" t="str">
        <f t="shared" si="4"/>
        <v>T60</v>
      </c>
      <c r="P42" s="1" t="b">
        <f t="shared" si="5"/>
        <v>0</v>
      </c>
      <c r="R42" s="43" t="b">
        <v>0</v>
      </c>
      <c r="T42" s="28">
        <f t="shared" si="8"/>
        <v>0</v>
      </c>
      <c r="U42" s="1" t="b">
        <f t="shared" si="6"/>
        <v>0</v>
      </c>
      <c r="V42" s="46"/>
    </row>
    <row r="43" spans="1:22" x14ac:dyDescent="0.45">
      <c r="A43" s="42"/>
      <c r="B43" s="77" t="s">
        <v>129</v>
      </c>
      <c r="C43" s="77" t="s">
        <v>270</v>
      </c>
      <c r="D43" s="78">
        <v>2006</v>
      </c>
      <c r="E43" s="78">
        <v>2011</v>
      </c>
      <c r="F43" s="78">
        <v>4024</v>
      </c>
      <c r="G43" s="78">
        <v>429</v>
      </c>
      <c r="H43" s="78">
        <v>398</v>
      </c>
      <c r="I43" s="79">
        <f t="shared" si="0"/>
        <v>418.66666666666663</v>
      </c>
      <c r="J43" s="79">
        <f t="shared" si="1"/>
        <v>9.6114649681528679</v>
      </c>
      <c r="K43" s="79">
        <f t="shared" si="2"/>
        <v>71.151273885350321</v>
      </c>
      <c r="L43" s="79">
        <v>65</v>
      </c>
      <c r="M43" s="79">
        <f t="shared" si="3"/>
        <v>2.5</v>
      </c>
      <c r="N43" s="79">
        <f t="shared" si="7"/>
        <v>73.651273885350321</v>
      </c>
      <c r="O43" s="78" t="str">
        <f t="shared" si="4"/>
        <v>T70</v>
      </c>
      <c r="P43" s="1" t="b">
        <f t="shared" si="5"/>
        <v>0</v>
      </c>
      <c r="R43" s="43" t="b">
        <v>0</v>
      </c>
      <c r="T43" s="28">
        <f t="shared" si="8"/>
        <v>2.5</v>
      </c>
      <c r="U43" s="1" t="b">
        <f t="shared" si="6"/>
        <v>0</v>
      </c>
      <c r="V43" s="46"/>
    </row>
    <row r="44" spans="1:22" x14ac:dyDescent="0.45">
      <c r="A44" s="42"/>
      <c r="B44" s="77" t="s">
        <v>129</v>
      </c>
      <c r="C44" s="77" t="s">
        <v>137</v>
      </c>
      <c r="D44" s="78">
        <v>1994</v>
      </c>
      <c r="E44" s="78">
        <v>1997</v>
      </c>
      <c r="F44" s="78">
        <v>3825</v>
      </c>
      <c r="G44" s="78">
        <v>227</v>
      </c>
      <c r="H44" s="78">
        <v>240</v>
      </c>
      <c r="I44" s="79">
        <f t="shared" si="0"/>
        <v>231.33333333333331</v>
      </c>
      <c r="J44" s="79">
        <f t="shared" si="1"/>
        <v>16.534582132564843</v>
      </c>
      <c r="K44" s="79">
        <f t="shared" si="2"/>
        <v>41.728025936599423</v>
      </c>
      <c r="L44" s="79">
        <v>55</v>
      </c>
      <c r="M44" s="79">
        <f t="shared" si="3"/>
        <v>-2.5</v>
      </c>
      <c r="N44" s="79">
        <f t="shared" si="7"/>
        <v>39.228025936599423</v>
      </c>
      <c r="O44" s="78" t="str">
        <f t="shared" si="4"/>
        <v>T30</v>
      </c>
      <c r="P44" s="1" t="b">
        <f t="shared" si="5"/>
        <v>0</v>
      </c>
      <c r="R44" s="43" t="b">
        <v>0</v>
      </c>
      <c r="T44" s="28">
        <f t="shared" si="8"/>
        <v>-2.5</v>
      </c>
      <c r="U44" s="1" t="b">
        <f t="shared" si="6"/>
        <v>0</v>
      </c>
      <c r="V44" s="46"/>
    </row>
    <row r="45" spans="1:22" x14ac:dyDescent="0.45">
      <c r="A45" s="42"/>
      <c r="B45" s="89" t="s">
        <v>129</v>
      </c>
      <c r="C45" s="89" t="s">
        <v>559</v>
      </c>
      <c r="D45" s="84">
        <v>2012</v>
      </c>
      <c r="E45" s="84">
        <v>2013</v>
      </c>
      <c r="F45" s="84">
        <v>3307</v>
      </c>
      <c r="G45" s="84">
        <v>360</v>
      </c>
      <c r="H45" s="84">
        <v>343</v>
      </c>
      <c r="I45" s="85">
        <f t="shared" si="0"/>
        <v>354.33333333333331</v>
      </c>
      <c r="J45" s="85">
        <f t="shared" si="1"/>
        <v>9.3330197554092198</v>
      </c>
      <c r="K45" s="79">
        <f t="shared" si="2"/>
        <v>72.334666039510807</v>
      </c>
      <c r="L45" s="85">
        <v>80</v>
      </c>
      <c r="M45" s="79">
        <f t="shared" si="3"/>
        <v>10</v>
      </c>
      <c r="N45" s="85">
        <f t="shared" si="7"/>
        <v>82.334666039510807</v>
      </c>
      <c r="O45" s="78" t="str">
        <f t="shared" si="4"/>
        <v>T80</v>
      </c>
      <c r="P45" s="1" t="b">
        <f t="shared" si="5"/>
        <v>0</v>
      </c>
      <c r="R45" s="43" t="b">
        <v>0</v>
      </c>
      <c r="T45" s="28">
        <f t="shared" si="8"/>
        <v>10</v>
      </c>
      <c r="U45" s="1" t="b">
        <f t="shared" si="6"/>
        <v>0</v>
      </c>
      <c r="V45" s="46"/>
    </row>
    <row r="46" spans="1:22" x14ac:dyDescent="0.45">
      <c r="A46" s="42"/>
      <c r="B46" s="77" t="s">
        <v>129</v>
      </c>
      <c r="C46" s="77" t="s">
        <v>727</v>
      </c>
      <c r="D46" s="78">
        <v>2009</v>
      </c>
      <c r="E46" s="78">
        <v>2015</v>
      </c>
      <c r="F46" s="78">
        <v>3200</v>
      </c>
      <c r="G46" s="78">
        <v>265</v>
      </c>
      <c r="H46" s="78">
        <v>258</v>
      </c>
      <c r="I46" s="79">
        <f t="shared" si="0"/>
        <v>262.66666666666663</v>
      </c>
      <c r="J46" s="79">
        <f t="shared" si="1"/>
        <v>12.18274111675127</v>
      </c>
      <c r="K46" s="79">
        <f t="shared" si="2"/>
        <v>60.223350253807105</v>
      </c>
      <c r="L46" s="79">
        <v>65</v>
      </c>
      <c r="M46" s="79">
        <f t="shared" si="3"/>
        <v>2.5</v>
      </c>
      <c r="N46" s="79">
        <f t="shared" si="7"/>
        <v>62.723350253807105</v>
      </c>
      <c r="O46" s="78" t="str">
        <f t="shared" si="4"/>
        <v>T60</v>
      </c>
      <c r="P46" s="1" t="b">
        <f t="shared" si="5"/>
        <v>0</v>
      </c>
      <c r="R46" s="43" t="b">
        <v>0</v>
      </c>
      <c r="T46" s="28">
        <f t="shared" si="8"/>
        <v>2.5</v>
      </c>
      <c r="U46" s="1" t="b">
        <f t="shared" si="6"/>
        <v>0</v>
      </c>
      <c r="V46" s="46"/>
    </row>
    <row r="47" spans="1:22" x14ac:dyDescent="0.45">
      <c r="A47" s="42"/>
      <c r="B47" s="77" t="s">
        <v>138</v>
      </c>
      <c r="C47" s="77" t="s">
        <v>139</v>
      </c>
      <c r="D47" s="78">
        <v>1959</v>
      </c>
      <c r="E47" s="78">
        <v>1967</v>
      </c>
      <c r="F47" s="78">
        <v>2550</v>
      </c>
      <c r="G47" s="78">
        <v>150</v>
      </c>
      <c r="H47" s="78">
        <v>165</v>
      </c>
      <c r="I47" s="79">
        <f t="shared" si="0"/>
        <v>155</v>
      </c>
      <c r="J47" s="79">
        <f t="shared" si="1"/>
        <v>16.451612903225808</v>
      </c>
      <c r="K47" s="79">
        <f t="shared" si="2"/>
        <v>42.08064516129032</v>
      </c>
      <c r="L47" s="79">
        <v>20</v>
      </c>
      <c r="M47" s="79">
        <f t="shared" si="3"/>
        <v>-20</v>
      </c>
      <c r="N47" s="79">
        <f t="shared" si="7"/>
        <v>22.08064516129032</v>
      </c>
      <c r="O47" s="78" t="str">
        <f t="shared" si="4"/>
        <v>T30</v>
      </c>
      <c r="P47" s="1" t="b">
        <f t="shared" si="5"/>
        <v>0</v>
      </c>
      <c r="R47" s="43" t="b">
        <v>0</v>
      </c>
      <c r="T47" s="28">
        <f t="shared" si="8"/>
        <v>-20</v>
      </c>
      <c r="U47" s="1" t="b">
        <f t="shared" si="6"/>
        <v>0</v>
      </c>
      <c r="V47" s="46"/>
    </row>
    <row r="48" spans="1:22" x14ac:dyDescent="0.45">
      <c r="A48" s="42"/>
      <c r="B48" s="77" t="s">
        <v>140</v>
      </c>
      <c r="C48" s="77" t="s">
        <v>809</v>
      </c>
      <c r="D48" s="78">
        <v>2020</v>
      </c>
      <c r="E48" s="78">
        <v>2023</v>
      </c>
      <c r="F48" s="78">
        <v>4480</v>
      </c>
      <c r="G48" s="78">
        <v>617</v>
      </c>
      <c r="H48" s="78">
        <v>553</v>
      </c>
      <c r="I48" s="79">
        <f t="shared" si="0"/>
        <v>595.66666666666663</v>
      </c>
      <c r="J48" s="79">
        <f t="shared" si="1"/>
        <v>7.5209848908785677</v>
      </c>
      <c r="K48" s="79">
        <f t="shared" si="2"/>
        <v>80.035814213766088</v>
      </c>
      <c r="L48" s="79">
        <v>80</v>
      </c>
      <c r="M48" s="79">
        <f t="shared" si="3"/>
        <v>10</v>
      </c>
      <c r="N48" s="79">
        <f t="shared" si="7"/>
        <v>90.035814213766088</v>
      </c>
      <c r="O48" s="78" t="str">
        <f t="shared" si="4"/>
        <v>T90</v>
      </c>
      <c r="P48" s="1" t="b">
        <f t="shared" si="5"/>
        <v>0</v>
      </c>
      <c r="R48" s="43" t="b">
        <v>0</v>
      </c>
      <c r="T48" s="28">
        <f t="shared" si="8"/>
        <v>10</v>
      </c>
      <c r="U48" s="1" t="b">
        <f t="shared" si="6"/>
        <v>0</v>
      </c>
      <c r="V48" s="46"/>
    </row>
    <row r="49" spans="1:22" x14ac:dyDescent="0.45">
      <c r="A49" s="42"/>
      <c r="B49" s="89" t="s">
        <v>140</v>
      </c>
      <c r="C49" s="89">
        <v>2002</v>
      </c>
      <c r="D49" s="84">
        <v>1974</v>
      </c>
      <c r="E49" s="84"/>
      <c r="F49" s="84">
        <v>2317</v>
      </c>
      <c r="G49" s="84">
        <v>100</v>
      </c>
      <c r="H49" s="84">
        <v>106</v>
      </c>
      <c r="I49" s="85">
        <f t="shared" si="0"/>
        <v>101.99999999999999</v>
      </c>
      <c r="J49" s="85">
        <f t="shared" si="1"/>
        <v>22.715686274509807</v>
      </c>
      <c r="K49" s="79">
        <f t="shared" si="2"/>
        <v>15.458333333333314</v>
      </c>
      <c r="L49" s="85">
        <v>30</v>
      </c>
      <c r="M49" s="79">
        <f t="shared" si="3"/>
        <v>-15</v>
      </c>
      <c r="N49" s="85">
        <f t="shared" si="7"/>
        <v>0.45833333333331439</v>
      </c>
      <c r="O49" s="78" t="str">
        <f t="shared" si="4"/>
        <v>T30</v>
      </c>
      <c r="P49" s="1" t="b">
        <f t="shared" si="5"/>
        <v>0</v>
      </c>
      <c r="R49" s="43" t="b">
        <v>0</v>
      </c>
      <c r="T49" s="28">
        <f t="shared" si="8"/>
        <v>-15</v>
      </c>
      <c r="U49" s="1" t="b">
        <f t="shared" si="6"/>
        <v>0</v>
      </c>
      <c r="V49" s="46"/>
    </row>
    <row r="50" spans="1:22" x14ac:dyDescent="0.45">
      <c r="A50" s="42"/>
      <c r="B50" s="77" t="s">
        <v>140</v>
      </c>
      <c r="C50" s="77" t="s">
        <v>744</v>
      </c>
      <c r="D50" s="78">
        <v>2008</v>
      </c>
      <c r="E50" s="78">
        <v>2013</v>
      </c>
      <c r="F50" s="78">
        <v>3252</v>
      </c>
      <c r="G50" s="78">
        <v>230</v>
      </c>
      <c r="H50" s="78">
        <v>200</v>
      </c>
      <c r="I50" s="79">
        <f t="shared" si="0"/>
        <v>219.99999999999997</v>
      </c>
      <c r="J50" s="79">
        <f t="shared" si="1"/>
        <v>14.781818181818183</v>
      </c>
      <c r="K50" s="79">
        <f t="shared" si="2"/>
        <v>49.177272727272722</v>
      </c>
      <c r="L50" s="79">
        <v>68</v>
      </c>
      <c r="M50" s="79">
        <f t="shared" si="3"/>
        <v>4</v>
      </c>
      <c r="N50" s="79">
        <f t="shared" si="7"/>
        <v>53.177272727272722</v>
      </c>
      <c r="O50" s="78" t="str">
        <f t="shared" si="4"/>
        <v>T50</v>
      </c>
      <c r="P50" s="1" t="b">
        <f t="shared" si="5"/>
        <v>0</v>
      </c>
      <c r="R50" s="43" t="b">
        <v>0</v>
      </c>
      <c r="T50" s="28">
        <f t="shared" si="8"/>
        <v>4</v>
      </c>
      <c r="U50" s="1" t="b">
        <f t="shared" si="6"/>
        <v>0</v>
      </c>
      <c r="V50" s="46"/>
    </row>
    <row r="51" spans="1:22" x14ac:dyDescent="0.45">
      <c r="A51" s="42"/>
      <c r="B51" s="77" t="s">
        <v>140</v>
      </c>
      <c r="C51" s="77" t="s">
        <v>754</v>
      </c>
      <c r="D51" s="78">
        <v>2004</v>
      </c>
      <c r="E51" s="78">
        <v>2013</v>
      </c>
      <c r="F51" s="78">
        <v>3373</v>
      </c>
      <c r="G51" s="78">
        <v>300</v>
      </c>
      <c r="H51" s="78">
        <v>300</v>
      </c>
      <c r="I51" s="79">
        <f t="shared" si="0"/>
        <v>300</v>
      </c>
      <c r="J51" s="79">
        <f t="shared" si="1"/>
        <v>11.243333333333334</v>
      </c>
      <c r="K51" s="79">
        <f t="shared" si="2"/>
        <v>64.215833333333336</v>
      </c>
      <c r="L51" s="79">
        <v>70</v>
      </c>
      <c r="M51" s="79">
        <f t="shared" si="3"/>
        <v>5</v>
      </c>
      <c r="N51" s="79">
        <f t="shared" si="7"/>
        <v>69.215833333333336</v>
      </c>
      <c r="O51" s="78" t="str">
        <f t="shared" si="4"/>
        <v>T60</v>
      </c>
      <c r="P51" s="1" t="b">
        <f t="shared" si="5"/>
        <v>0</v>
      </c>
      <c r="R51" s="43" t="b">
        <v>0</v>
      </c>
      <c r="T51" s="28">
        <f t="shared" si="8"/>
        <v>5</v>
      </c>
      <c r="U51" s="1" t="b">
        <f t="shared" si="6"/>
        <v>0</v>
      </c>
      <c r="V51" s="46"/>
    </row>
    <row r="52" spans="1:22" x14ac:dyDescent="0.45">
      <c r="A52" s="42"/>
      <c r="B52" s="77" t="s">
        <v>140</v>
      </c>
      <c r="C52" s="77" t="s">
        <v>755</v>
      </c>
      <c r="D52" s="78">
        <v>2013</v>
      </c>
      <c r="E52" s="78"/>
      <c r="F52" s="78">
        <v>3373</v>
      </c>
      <c r="G52" s="78">
        <v>320</v>
      </c>
      <c r="H52" s="78">
        <v>317</v>
      </c>
      <c r="I52" s="79">
        <f t="shared" si="0"/>
        <v>319</v>
      </c>
      <c r="J52" s="79">
        <f t="shared" si="1"/>
        <v>10.573667711598747</v>
      </c>
      <c r="K52" s="79">
        <f t="shared" si="2"/>
        <v>67.061912225705328</v>
      </c>
      <c r="L52" s="79">
        <v>75</v>
      </c>
      <c r="M52" s="79">
        <f t="shared" si="3"/>
        <v>7.5</v>
      </c>
      <c r="N52" s="79">
        <f t="shared" si="7"/>
        <v>74.561912225705328</v>
      </c>
      <c r="O52" s="78" t="str">
        <f t="shared" si="4"/>
        <v>T70</v>
      </c>
      <c r="P52" s="1" t="b">
        <f t="shared" si="5"/>
        <v>0</v>
      </c>
      <c r="R52" s="43" t="b">
        <v>0</v>
      </c>
      <c r="T52" s="28">
        <f t="shared" si="8"/>
        <v>7.5</v>
      </c>
      <c r="U52" s="1" t="b">
        <f t="shared" si="6"/>
        <v>0</v>
      </c>
      <c r="V52" s="46"/>
    </row>
    <row r="53" spans="1:22" x14ac:dyDescent="0.45">
      <c r="A53" s="42"/>
      <c r="B53" s="77" t="s">
        <v>140</v>
      </c>
      <c r="C53" s="77" t="s">
        <v>371</v>
      </c>
      <c r="D53" s="78">
        <v>1990</v>
      </c>
      <c r="E53" s="78">
        <v>1991</v>
      </c>
      <c r="F53" s="78">
        <v>2657</v>
      </c>
      <c r="G53" s="78">
        <v>134</v>
      </c>
      <c r="H53" s="78">
        <v>127</v>
      </c>
      <c r="I53" s="79">
        <f t="shared" si="0"/>
        <v>131.66666666666666</v>
      </c>
      <c r="J53" s="79">
        <f t="shared" si="1"/>
        <v>20.179746835443041</v>
      </c>
      <c r="K53" s="79">
        <f t="shared" si="2"/>
        <v>26.236075949367077</v>
      </c>
      <c r="L53" s="79">
        <v>60</v>
      </c>
      <c r="M53" s="79">
        <f t="shared" si="3"/>
        <v>0</v>
      </c>
      <c r="N53" s="79">
        <f t="shared" si="7"/>
        <v>26.236075949367077</v>
      </c>
      <c r="O53" s="78" t="str">
        <f t="shared" si="4"/>
        <v>T30</v>
      </c>
      <c r="P53" s="1" t="b">
        <f t="shared" si="5"/>
        <v>0</v>
      </c>
      <c r="R53" s="43" t="b">
        <v>0</v>
      </c>
      <c r="T53" s="28">
        <f t="shared" si="8"/>
        <v>0</v>
      </c>
      <c r="U53" s="1" t="b">
        <f t="shared" si="6"/>
        <v>0</v>
      </c>
      <c r="V53" s="46"/>
    </row>
    <row r="54" spans="1:22" x14ac:dyDescent="0.45">
      <c r="A54" s="42"/>
      <c r="B54" s="77" t="s">
        <v>140</v>
      </c>
      <c r="C54" s="77" t="s">
        <v>372</v>
      </c>
      <c r="D54" s="78">
        <v>1990</v>
      </c>
      <c r="E54" s="78">
        <v>1991</v>
      </c>
      <c r="F54" s="78">
        <v>2602</v>
      </c>
      <c r="G54" s="78">
        <v>134</v>
      </c>
      <c r="H54" s="78">
        <v>127</v>
      </c>
      <c r="I54" s="79">
        <f t="shared" si="0"/>
        <v>131.66666666666666</v>
      </c>
      <c r="J54" s="79">
        <f t="shared" si="1"/>
        <v>19.762025316455698</v>
      </c>
      <c r="K54" s="79">
        <f t="shared" si="2"/>
        <v>28.011392405063276</v>
      </c>
      <c r="L54" s="79">
        <v>60</v>
      </c>
      <c r="M54" s="79">
        <f t="shared" si="3"/>
        <v>0</v>
      </c>
      <c r="N54" s="79">
        <f t="shared" si="7"/>
        <v>28.011392405063276</v>
      </c>
      <c r="O54" s="78" t="str">
        <f t="shared" si="4"/>
        <v>T30</v>
      </c>
      <c r="P54" s="1" t="b">
        <f t="shared" si="5"/>
        <v>0</v>
      </c>
      <c r="R54" s="43" t="b">
        <v>0</v>
      </c>
      <c r="T54" s="28">
        <f t="shared" si="8"/>
        <v>0</v>
      </c>
      <c r="U54" s="1" t="b">
        <f t="shared" si="6"/>
        <v>0</v>
      </c>
      <c r="V54" s="46"/>
    </row>
    <row r="55" spans="1:22" x14ac:dyDescent="0.45">
      <c r="A55" s="42"/>
      <c r="B55" s="77" t="s">
        <v>140</v>
      </c>
      <c r="C55" s="77" t="s">
        <v>141</v>
      </c>
      <c r="D55" s="78">
        <v>1993</v>
      </c>
      <c r="E55" s="78">
        <v>2000</v>
      </c>
      <c r="F55" s="78">
        <v>2745</v>
      </c>
      <c r="G55" s="78">
        <v>140</v>
      </c>
      <c r="H55" s="78">
        <v>129</v>
      </c>
      <c r="I55" s="79">
        <f t="shared" si="0"/>
        <v>136.33333333333331</v>
      </c>
      <c r="J55" s="79">
        <f t="shared" si="1"/>
        <v>20.134474327628364</v>
      </c>
      <c r="K55" s="79">
        <f t="shared" si="2"/>
        <v>26.42848410757945</v>
      </c>
      <c r="L55" s="79">
        <v>60</v>
      </c>
      <c r="M55" s="79">
        <f t="shared" si="3"/>
        <v>0</v>
      </c>
      <c r="N55" s="79">
        <f t="shared" si="7"/>
        <v>26.42848410757945</v>
      </c>
      <c r="O55" s="78" t="str">
        <f t="shared" si="4"/>
        <v>T30</v>
      </c>
      <c r="P55" s="1" t="b">
        <f t="shared" si="5"/>
        <v>0</v>
      </c>
      <c r="R55" s="43" t="b">
        <v>0</v>
      </c>
      <c r="T55" s="28">
        <f t="shared" si="8"/>
        <v>0</v>
      </c>
      <c r="U55" s="1" t="b">
        <f t="shared" si="6"/>
        <v>0</v>
      </c>
      <c r="V55" s="46"/>
    </row>
    <row r="56" spans="1:22" x14ac:dyDescent="0.45">
      <c r="A56" s="42"/>
      <c r="B56" s="77" t="s">
        <v>140</v>
      </c>
      <c r="C56" s="77" t="s">
        <v>654</v>
      </c>
      <c r="D56" s="78">
        <v>1991</v>
      </c>
      <c r="E56" s="78">
        <v>1991</v>
      </c>
      <c r="F56" s="84">
        <v>2602</v>
      </c>
      <c r="G56" s="84">
        <v>240</v>
      </c>
      <c r="H56" s="84">
        <v>236</v>
      </c>
      <c r="I56" s="85">
        <f t="shared" si="0"/>
        <v>238.66666666666666</v>
      </c>
      <c r="J56" s="85">
        <f t="shared" si="1"/>
        <v>10.902234636871508</v>
      </c>
      <c r="K56" s="79">
        <f t="shared" si="2"/>
        <v>65.665502793296099</v>
      </c>
      <c r="L56" s="85">
        <v>60</v>
      </c>
      <c r="M56" s="79">
        <f t="shared" si="3"/>
        <v>0</v>
      </c>
      <c r="N56" s="85">
        <f t="shared" si="7"/>
        <v>65.665502793296099</v>
      </c>
      <c r="O56" s="84" t="str">
        <f t="shared" si="4"/>
        <v>T60</v>
      </c>
      <c r="P56" s="1" t="b">
        <f t="shared" si="5"/>
        <v>0</v>
      </c>
      <c r="R56" s="43" t="b">
        <v>0</v>
      </c>
      <c r="T56" s="28">
        <f t="shared" si="8"/>
        <v>0</v>
      </c>
      <c r="U56" s="1" t="b">
        <f t="shared" si="6"/>
        <v>0</v>
      </c>
      <c r="V56" s="46"/>
    </row>
    <row r="57" spans="1:22" x14ac:dyDescent="0.45">
      <c r="A57" s="42"/>
      <c r="B57" s="77" t="s">
        <v>140</v>
      </c>
      <c r="C57" s="77" t="s">
        <v>548</v>
      </c>
      <c r="D57" s="78">
        <v>2013</v>
      </c>
      <c r="E57" s="78"/>
      <c r="F57" s="78">
        <v>3295</v>
      </c>
      <c r="G57" s="78">
        <v>180</v>
      </c>
      <c r="H57" s="78">
        <v>184</v>
      </c>
      <c r="I57" s="79">
        <f t="shared" si="0"/>
        <v>181.33333333333331</v>
      </c>
      <c r="J57" s="79">
        <f t="shared" si="1"/>
        <v>18.170955882352942</v>
      </c>
      <c r="K57" s="79">
        <f t="shared" si="2"/>
        <v>34.7734375</v>
      </c>
      <c r="L57" s="79">
        <v>70</v>
      </c>
      <c r="M57" s="79">
        <f t="shared" si="3"/>
        <v>5</v>
      </c>
      <c r="N57" s="79">
        <f t="shared" si="7"/>
        <v>39.7734375</v>
      </c>
      <c r="O57" s="78" t="str">
        <f t="shared" si="4"/>
        <v>T30</v>
      </c>
      <c r="P57" s="1" t="b">
        <f t="shared" si="5"/>
        <v>0</v>
      </c>
      <c r="R57" s="43" t="b">
        <v>0</v>
      </c>
      <c r="T57" s="28">
        <f t="shared" si="8"/>
        <v>5</v>
      </c>
      <c r="U57" s="1" t="b">
        <f t="shared" si="6"/>
        <v>0</v>
      </c>
      <c r="V57" s="46"/>
    </row>
    <row r="58" spans="1:22" x14ac:dyDescent="0.45">
      <c r="A58" s="42"/>
      <c r="B58" s="89" t="s">
        <v>140</v>
      </c>
      <c r="C58" s="89" t="s">
        <v>639</v>
      </c>
      <c r="D58" s="84">
        <v>2000</v>
      </c>
      <c r="E58" s="84"/>
      <c r="F58" s="84">
        <v>3153</v>
      </c>
      <c r="G58" s="84">
        <v>170</v>
      </c>
      <c r="H58" s="84">
        <v>181</v>
      </c>
      <c r="I58" s="85">
        <f t="shared" si="0"/>
        <v>173.66666666666666</v>
      </c>
      <c r="J58" s="85">
        <f t="shared" si="1"/>
        <v>18.155470249520153</v>
      </c>
      <c r="K58" s="79">
        <f t="shared" si="2"/>
        <v>34.839251439539353</v>
      </c>
      <c r="L58" s="85">
        <v>60</v>
      </c>
      <c r="M58" s="79">
        <f t="shared" si="3"/>
        <v>0</v>
      </c>
      <c r="N58" s="85">
        <f t="shared" si="7"/>
        <v>34.839251439539353</v>
      </c>
      <c r="O58" s="78" t="str">
        <f t="shared" si="4"/>
        <v>T30</v>
      </c>
      <c r="P58" s="1" t="b">
        <f t="shared" si="5"/>
        <v>0</v>
      </c>
      <c r="R58" s="43" t="b">
        <v>0</v>
      </c>
      <c r="T58" s="28">
        <f t="shared" si="8"/>
        <v>0</v>
      </c>
      <c r="U58" s="1" t="b">
        <f t="shared" si="6"/>
        <v>0</v>
      </c>
      <c r="V58" s="46"/>
    </row>
    <row r="59" spans="1:22" x14ac:dyDescent="0.45">
      <c r="A59" s="42"/>
      <c r="B59" s="77" t="s">
        <v>140</v>
      </c>
      <c r="C59" s="77" t="s">
        <v>142</v>
      </c>
      <c r="D59" s="78">
        <v>1991</v>
      </c>
      <c r="E59" s="78">
        <v>1991</v>
      </c>
      <c r="F59" s="78">
        <v>2854</v>
      </c>
      <c r="G59" s="78">
        <v>168</v>
      </c>
      <c r="H59" s="78">
        <v>164</v>
      </c>
      <c r="I59" s="79">
        <f t="shared" si="0"/>
        <v>166.66666666666666</v>
      </c>
      <c r="J59" s="79">
        <f t="shared" si="1"/>
        <v>17.124000000000002</v>
      </c>
      <c r="K59" s="79">
        <f t="shared" si="2"/>
        <v>39.222999999999985</v>
      </c>
      <c r="L59" s="79">
        <v>60</v>
      </c>
      <c r="M59" s="79">
        <f t="shared" si="3"/>
        <v>0</v>
      </c>
      <c r="N59" s="79">
        <f t="shared" si="7"/>
        <v>39.222999999999985</v>
      </c>
      <c r="O59" s="78" t="str">
        <f t="shared" si="4"/>
        <v>T30</v>
      </c>
      <c r="P59" s="1" t="b">
        <f t="shared" si="5"/>
        <v>0</v>
      </c>
      <c r="R59" s="43" t="b">
        <v>0</v>
      </c>
      <c r="T59" s="28">
        <f t="shared" si="8"/>
        <v>0</v>
      </c>
      <c r="U59" s="1" t="b">
        <f t="shared" si="6"/>
        <v>0</v>
      </c>
      <c r="V59" s="46"/>
    </row>
    <row r="60" spans="1:22" x14ac:dyDescent="0.45">
      <c r="A60" s="42"/>
      <c r="B60" s="77" t="s">
        <v>140</v>
      </c>
      <c r="C60" s="77" t="s">
        <v>142</v>
      </c>
      <c r="D60" s="78">
        <v>1992</v>
      </c>
      <c r="E60" s="78">
        <v>1995</v>
      </c>
      <c r="F60" s="78">
        <v>3087</v>
      </c>
      <c r="G60" s="78">
        <v>189</v>
      </c>
      <c r="H60" s="78">
        <v>181</v>
      </c>
      <c r="I60" s="79">
        <f t="shared" si="0"/>
        <v>186.33333333333331</v>
      </c>
      <c r="J60" s="79">
        <f t="shared" si="1"/>
        <v>16.567084078711986</v>
      </c>
      <c r="K60" s="79">
        <f t="shared" si="2"/>
        <v>41.589892665474054</v>
      </c>
      <c r="L60" s="79">
        <v>60</v>
      </c>
      <c r="M60" s="79">
        <f t="shared" si="3"/>
        <v>0</v>
      </c>
      <c r="N60" s="79">
        <f t="shared" si="7"/>
        <v>41.589892665474054</v>
      </c>
      <c r="O60" s="78" t="str">
        <f t="shared" si="4"/>
        <v>T40</v>
      </c>
      <c r="P60" s="1" t="b">
        <f t="shared" si="5"/>
        <v>0</v>
      </c>
      <c r="R60" s="43" t="b">
        <v>0</v>
      </c>
      <c r="T60" s="28">
        <f t="shared" si="8"/>
        <v>0</v>
      </c>
      <c r="U60" s="1" t="b">
        <f t="shared" si="6"/>
        <v>0</v>
      </c>
      <c r="V60" s="46"/>
    </row>
    <row r="61" spans="1:22" x14ac:dyDescent="0.45">
      <c r="A61" s="42"/>
      <c r="B61" s="77" t="s">
        <v>140</v>
      </c>
      <c r="C61" s="77" t="s">
        <v>142</v>
      </c>
      <c r="D61" s="78">
        <v>2001</v>
      </c>
      <c r="E61" s="78">
        <v>2005</v>
      </c>
      <c r="F61" s="78">
        <v>3241</v>
      </c>
      <c r="G61" s="78">
        <v>184</v>
      </c>
      <c r="H61" s="78">
        <v>175</v>
      </c>
      <c r="I61" s="79">
        <f t="shared" si="0"/>
        <v>181</v>
      </c>
      <c r="J61" s="79">
        <f t="shared" si="1"/>
        <v>17.906077348066297</v>
      </c>
      <c r="K61" s="79">
        <f t="shared" si="2"/>
        <v>35.899171270718242</v>
      </c>
      <c r="L61" s="79">
        <v>60</v>
      </c>
      <c r="M61" s="79">
        <f t="shared" si="3"/>
        <v>0</v>
      </c>
      <c r="N61" s="79">
        <f t="shared" si="7"/>
        <v>35.899171270718242</v>
      </c>
      <c r="O61" s="78" t="str">
        <f t="shared" si="4"/>
        <v>T30</v>
      </c>
      <c r="P61" s="1" t="b">
        <f t="shared" si="5"/>
        <v>0</v>
      </c>
      <c r="R61" s="43" t="b">
        <v>0</v>
      </c>
      <c r="T61" s="28">
        <f t="shared" si="8"/>
        <v>0</v>
      </c>
      <c r="U61" s="1" t="b">
        <f t="shared" si="6"/>
        <v>0</v>
      </c>
      <c r="V61" s="46"/>
    </row>
    <row r="62" spans="1:22" x14ac:dyDescent="0.45">
      <c r="A62" s="42"/>
      <c r="B62" s="77" t="s">
        <v>140</v>
      </c>
      <c r="C62" s="77" t="s">
        <v>143</v>
      </c>
      <c r="D62" s="78">
        <v>1992</v>
      </c>
      <c r="E62" s="78">
        <v>1995</v>
      </c>
      <c r="F62" s="78">
        <v>3087</v>
      </c>
      <c r="G62" s="78">
        <v>189</v>
      </c>
      <c r="H62" s="78">
        <v>181</v>
      </c>
      <c r="I62" s="79">
        <f t="shared" si="0"/>
        <v>186.33333333333331</v>
      </c>
      <c r="J62" s="79">
        <f t="shared" si="1"/>
        <v>16.567084078711986</v>
      </c>
      <c r="K62" s="79">
        <f t="shared" si="2"/>
        <v>41.589892665474054</v>
      </c>
      <c r="L62" s="79">
        <v>65</v>
      </c>
      <c r="M62" s="79">
        <f t="shared" si="3"/>
        <v>2.5</v>
      </c>
      <c r="N62" s="79">
        <f t="shared" si="7"/>
        <v>44.089892665474054</v>
      </c>
      <c r="O62" s="78" t="str">
        <f t="shared" si="4"/>
        <v>T40</v>
      </c>
      <c r="P62" s="1" t="b">
        <f t="shared" si="5"/>
        <v>0</v>
      </c>
      <c r="R62" s="43" t="b">
        <v>0</v>
      </c>
      <c r="T62" s="28">
        <f t="shared" si="8"/>
        <v>2.5</v>
      </c>
      <c r="U62" s="1" t="b">
        <f t="shared" si="6"/>
        <v>0</v>
      </c>
      <c r="V62" s="46"/>
    </row>
    <row r="63" spans="1:22" x14ac:dyDescent="0.45">
      <c r="A63" s="42"/>
      <c r="B63" s="77" t="s">
        <v>140</v>
      </c>
      <c r="C63" s="77" t="s">
        <v>144</v>
      </c>
      <c r="D63" s="78">
        <v>1996</v>
      </c>
      <c r="E63" s="78">
        <v>1999</v>
      </c>
      <c r="F63" s="78">
        <v>3120</v>
      </c>
      <c r="G63" s="78">
        <v>190</v>
      </c>
      <c r="H63" s="78">
        <v>206</v>
      </c>
      <c r="I63" s="79">
        <f t="shared" si="0"/>
        <v>195.33333333333331</v>
      </c>
      <c r="J63" s="79">
        <f t="shared" si="1"/>
        <v>15.97269624573379</v>
      </c>
      <c r="K63" s="79">
        <f t="shared" si="2"/>
        <v>44.116040955631391</v>
      </c>
      <c r="L63" s="79">
        <v>65</v>
      </c>
      <c r="M63" s="79">
        <f t="shared" si="3"/>
        <v>2.5</v>
      </c>
      <c r="N63" s="79">
        <f t="shared" si="7"/>
        <v>46.616040955631391</v>
      </c>
      <c r="O63" s="78" t="str">
        <f t="shared" si="4"/>
        <v>T40</v>
      </c>
      <c r="P63" s="1" t="b">
        <f t="shared" si="5"/>
        <v>0</v>
      </c>
      <c r="R63" s="43" t="b">
        <v>0</v>
      </c>
      <c r="T63" s="28">
        <f t="shared" si="8"/>
        <v>2.5</v>
      </c>
      <c r="U63" s="1" t="b">
        <f t="shared" si="6"/>
        <v>0</v>
      </c>
      <c r="V63" s="46"/>
    </row>
    <row r="64" spans="1:22" x14ac:dyDescent="0.45">
      <c r="A64" s="42"/>
      <c r="B64" s="77" t="s">
        <v>140</v>
      </c>
      <c r="C64" s="77" t="s">
        <v>726</v>
      </c>
      <c r="D64" s="78">
        <v>2012</v>
      </c>
      <c r="E64" s="78">
        <v>2019</v>
      </c>
      <c r="F64" s="78">
        <v>3498</v>
      </c>
      <c r="G64" s="78">
        <v>240</v>
      </c>
      <c r="H64" s="78">
        <v>255</v>
      </c>
      <c r="I64" s="79">
        <f t="shared" si="0"/>
        <v>245</v>
      </c>
      <c r="J64" s="79">
        <f t="shared" si="1"/>
        <v>14.277551020408163</v>
      </c>
      <c r="K64" s="79">
        <f t="shared" si="2"/>
        <v>51.320408163265306</v>
      </c>
      <c r="L64" s="79">
        <v>70</v>
      </c>
      <c r="M64" s="79">
        <f t="shared" si="3"/>
        <v>5</v>
      </c>
      <c r="N64" s="79">
        <f t="shared" si="7"/>
        <v>56.320408163265306</v>
      </c>
      <c r="O64" s="78" t="str">
        <f t="shared" si="4"/>
        <v>T50</v>
      </c>
      <c r="P64" s="1" t="b">
        <f t="shared" si="5"/>
        <v>0</v>
      </c>
      <c r="R64" s="43" t="b">
        <v>0</v>
      </c>
      <c r="T64" s="28">
        <f t="shared" si="8"/>
        <v>5</v>
      </c>
      <c r="U64" s="1" t="b">
        <f t="shared" si="6"/>
        <v>0</v>
      </c>
      <c r="V64" s="46"/>
    </row>
    <row r="65" spans="1:22" x14ac:dyDescent="0.45">
      <c r="A65" s="42"/>
      <c r="B65" s="77" t="s">
        <v>140</v>
      </c>
      <c r="C65" s="77" t="s">
        <v>145</v>
      </c>
      <c r="D65" s="78">
        <v>2003</v>
      </c>
      <c r="E65" s="78">
        <v>2003</v>
      </c>
      <c r="F65" s="78">
        <v>3285</v>
      </c>
      <c r="G65" s="78">
        <v>228</v>
      </c>
      <c r="H65" s="78">
        <v>221</v>
      </c>
      <c r="I65" s="79">
        <f t="shared" si="0"/>
        <v>225.66666666666666</v>
      </c>
      <c r="J65" s="79">
        <f t="shared" si="1"/>
        <v>14.556868537666174</v>
      </c>
      <c r="K65" s="79">
        <f t="shared" si="2"/>
        <v>50.133308714918762</v>
      </c>
      <c r="L65" s="79">
        <v>65</v>
      </c>
      <c r="M65" s="79">
        <f t="shared" si="3"/>
        <v>2.5</v>
      </c>
      <c r="N65" s="79">
        <f t="shared" si="7"/>
        <v>52.633308714918762</v>
      </c>
      <c r="O65" s="78" t="str">
        <f t="shared" si="4"/>
        <v>T50</v>
      </c>
      <c r="P65" s="1" t="b">
        <f t="shared" si="5"/>
        <v>0</v>
      </c>
      <c r="R65" s="43" t="b">
        <v>0</v>
      </c>
      <c r="T65" s="79">
        <f t="shared" si="8"/>
        <v>2.5</v>
      </c>
      <c r="U65" s="1" t="b">
        <f t="shared" si="6"/>
        <v>0</v>
      </c>
      <c r="V65" s="46"/>
    </row>
    <row r="66" spans="1:22" x14ac:dyDescent="0.45">
      <c r="A66" s="42"/>
      <c r="B66" s="77" t="s">
        <v>140</v>
      </c>
      <c r="C66" s="77" t="s">
        <v>271</v>
      </c>
      <c r="D66" s="78">
        <v>2003</v>
      </c>
      <c r="E66" s="78">
        <v>2005</v>
      </c>
      <c r="F66" s="78">
        <v>3285</v>
      </c>
      <c r="G66" s="78">
        <v>235</v>
      </c>
      <c r="H66" s="78">
        <v>222</v>
      </c>
      <c r="I66" s="79">
        <f t="shared" si="0"/>
        <v>230.66666666666666</v>
      </c>
      <c r="J66" s="79">
        <f t="shared" si="1"/>
        <v>14.241329479768787</v>
      </c>
      <c r="K66" s="79">
        <f t="shared" si="2"/>
        <v>51.474349710982658</v>
      </c>
      <c r="L66" s="79">
        <v>70</v>
      </c>
      <c r="M66" s="79">
        <f t="shared" si="3"/>
        <v>5</v>
      </c>
      <c r="N66" s="79">
        <f t="shared" si="7"/>
        <v>56.474349710982658</v>
      </c>
      <c r="O66" s="78" t="str">
        <f t="shared" si="4"/>
        <v>T50</v>
      </c>
      <c r="P66" s="1" t="b">
        <f t="shared" si="5"/>
        <v>0</v>
      </c>
      <c r="R66" s="43" t="b">
        <v>0</v>
      </c>
      <c r="T66" s="79">
        <f t="shared" si="8"/>
        <v>5</v>
      </c>
      <c r="U66" s="1" t="b">
        <f t="shared" si="6"/>
        <v>0</v>
      </c>
      <c r="V66" s="46"/>
    </row>
    <row r="67" spans="1:22" x14ac:dyDescent="0.45">
      <c r="A67" s="42"/>
      <c r="B67" s="77" t="s">
        <v>140</v>
      </c>
      <c r="C67" s="77" t="s">
        <v>146</v>
      </c>
      <c r="D67" s="78">
        <v>2006</v>
      </c>
      <c r="E67" s="78">
        <v>2006</v>
      </c>
      <c r="F67" s="78">
        <v>3417</v>
      </c>
      <c r="G67" s="78">
        <v>255</v>
      </c>
      <c r="H67" s="78">
        <v>221</v>
      </c>
      <c r="I67" s="79">
        <f t="shared" si="0"/>
        <v>243.66666666666666</v>
      </c>
      <c r="J67" s="79">
        <f t="shared" si="1"/>
        <v>14.023255813953488</v>
      </c>
      <c r="K67" s="79">
        <f t="shared" si="2"/>
        <v>52.401162790697676</v>
      </c>
      <c r="L67" s="79">
        <v>70</v>
      </c>
      <c r="M67" s="79">
        <f t="shared" si="3"/>
        <v>5</v>
      </c>
      <c r="N67" s="79">
        <f t="shared" si="7"/>
        <v>57.401162790697676</v>
      </c>
      <c r="O67" s="78" t="str">
        <f t="shared" si="4"/>
        <v>T50</v>
      </c>
      <c r="P67" s="1" t="b">
        <f t="shared" si="5"/>
        <v>0</v>
      </c>
      <c r="R67" s="43" t="b">
        <v>0</v>
      </c>
      <c r="T67" s="79">
        <f t="shared" si="8"/>
        <v>5</v>
      </c>
      <c r="U67" s="1" t="b">
        <f t="shared" si="6"/>
        <v>0</v>
      </c>
      <c r="V67" s="46"/>
    </row>
    <row r="68" spans="1:22" x14ac:dyDescent="0.45">
      <c r="A68" s="42"/>
      <c r="B68" s="77" t="s">
        <v>140</v>
      </c>
      <c r="C68" s="77" t="s">
        <v>496</v>
      </c>
      <c r="D68" s="78">
        <v>2001</v>
      </c>
      <c r="E68" s="78">
        <v>2005</v>
      </c>
      <c r="F68" s="78">
        <v>3318</v>
      </c>
      <c r="G68" s="78">
        <v>225</v>
      </c>
      <c r="H68" s="78">
        <v>216</v>
      </c>
      <c r="I68" s="79">
        <f t="shared" si="0"/>
        <v>222</v>
      </c>
      <c r="J68" s="79">
        <f t="shared" si="1"/>
        <v>14.945945945945946</v>
      </c>
      <c r="K68" s="79">
        <f t="shared" si="2"/>
        <v>48.479729729729733</v>
      </c>
      <c r="L68" s="79">
        <v>70</v>
      </c>
      <c r="M68" s="79">
        <f t="shared" si="3"/>
        <v>5</v>
      </c>
      <c r="N68" s="79">
        <f t="shared" si="7"/>
        <v>53.479729729729733</v>
      </c>
      <c r="O68" s="78" t="str">
        <f t="shared" si="4"/>
        <v>T50</v>
      </c>
      <c r="P68" s="1" t="b">
        <f t="shared" si="5"/>
        <v>0</v>
      </c>
      <c r="R68" s="43" t="b">
        <v>0</v>
      </c>
      <c r="T68" s="79">
        <f t="shared" si="8"/>
        <v>5</v>
      </c>
      <c r="U68" s="1" t="b">
        <f t="shared" si="6"/>
        <v>0</v>
      </c>
      <c r="V68" s="46"/>
    </row>
    <row r="69" spans="1:22" x14ac:dyDescent="0.45">
      <c r="A69" s="42"/>
      <c r="B69" s="90" t="s">
        <v>140</v>
      </c>
      <c r="C69" s="90" t="s">
        <v>573</v>
      </c>
      <c r="D69" s="86">
        <v>2007</v>
      </c>
      <c r="E69" s="86">
        <v>2011</v>
      </c>
      <c r="F69" s="86">
        <v>3781</v>
      </c>
      <c r="G69" s="86">
        <v>265</v>
      </c>
      <c r="H69" s="86">
        <v>425</v>
      </c>
      <c r="I69" s="85">
        <f t="shared" si="0"/>
        <v>318.33333333333331</v>
      </c>
      <c r="J69" s="85">
        <f t="shared" si="1"/>
        <v>11.877486910994765</v>
      </c>
      <c r="K69" s="79">
        <f t="shared" si="2"/>
        <v>61.520680628272245</v>
      </c>
      <c r="L69" s="87">
        <v>70</v>
      </c>
      <c r="M69" s="79">
        <f t="shared" si="3"/>
        <v>5</v>
      </c>
      <c r="N69" s="79">
        <f t="shared" si="7"/>
        <v>66.520680628272245</v>
      </c>
      <c r="O69" s="78" t="str">
        <f t="shared" si="4"/>
        <v>T60</v>
      </c>
      <c r="P69" s="1" t="b">
        <f t="shared" si="5"/>
        <v>0</v>
      </c>
      <c r="R69" s="43" t="b">
        <v>0</v>
      </c>
      <c r="T69" s="79">
        <f t="shared" si="8"/>
        <v>5</v>
      </c>
      <c r="U69" s="1" t="b">
        <f t="shared" si="6"/>
        <v>0</v>
      </c>
      <c r="V69" s="46"/>
    </row>
    <row r="70" spans="1:22" x14ac:dyDescent="0.45">
      <c r="A70" s="42"/>
      <c r="B70" s="90" t="s">
        <v>140</v>
      </c>
      <c r="C70" s="90" t="s">
        <v>572</v>
      </c>
      <c r="D70" s="86">
        <v>2007</v>
      </c>
      <c r="E70" s="86"/>
      <c r="F70" s="86">
        <v>3571</v>
      </c>
      <c r="G70" s="84">
        <v>300</v>
      </c>
      <c r="H70" s="84">
        <v>300</v>
      </c>
      <c r="I70" s="85">
        <f t="shared" si="0"/>
        <v>300</v>
      </c>
      <c r="J70" s="85">
        <f t="shared" si="1"/>
        <v>11.903333333333334</v>
      </c>
      <c r="K70" s="79">
        <f t="shared" si="2"/>
        <v>61.410833333333329</v>
      </c>
      <c r="L70" s="87">
        <v>70</v>
      </c>
      <c r="M70" s="79">
        <f t="shared" si="3"/>
        <v>5</v>
      </c>
      <c r="N70" s="79">
        <f t="shared" si="7"/>
        <v>66.410833333333329</v>
      </c>
      <c r="O70" s="78" t="str">
        <f t="shared" si="4"/>
        <v>T60</v>
      </c>
      <c r="P70" s="1" t="b">
        <f t="shared" si="5"/>
        <v>0</v>
      </c>
      <c r="R70" s="43" t="b">
        <v>0</v>
      </c>
      <c r="T70" s="79">
        <f t="shared" si="8"/>
        <v>5</v>
      </c>
      <c r="U70" s="1" t="b">
        <f t="shared" si="6"/>
        <v>0</v>
      </c>
      <c r="V70" s="46"/>
    </row>
    <row r="71" spans="1:22" x14ac:dyDescent="0.45">
      <c r="A71" s="42"/>
      <c r="B71" s="90" t="s">
        <v>140</v>
      </c>
      <c r="C71" s="90" t="s">
        <v>574</v>
      </c>
      <c r="D71" s="86">
        <v>2006</v>
      </c>
      <c r="E71" s="86">
        <v>2009</v>
      </c>
      <c r="F71" s="86">
        <v>3594</v>
      </c>
      <c r="G71" s="86">
        <v>300</v>
      </c>
      <c r="H71" s="86">
        <v>300</v>
      </c>
      <c r="I71" s="85">
        <f t="shared" si="0"/>
        <v>300</v>
      </c>
      <c r="J71" s="85">
        <f t="shared" si="1"/>
        <v>11.98</v>
      </c>
      <c r="K71" s="79">
        <f t="shared" si="2"/>
        <v>61.085000000000001</v>
      </c>
      <c r="L71" s="87">
        <v>70</v>
      </c>
      <c r="M71" s="79">
        <f t="shared" si="3"/>
        <v>5</v>
      </c>
      <c r="N71" s="79">
        <f t="shared" si="7"/>
        <v>66.085000000000008</v>
      </c>
      <c r="O71" s="78" t="str">
        <f t="shared" si="4"/>
        <v>T60</v>
      </c>
      <c r="P71" s="1" t="b">
        <f t="shared" si="5"/>
        <v>0</v>
      </c>
      <c r="R71" s="43" t="b">
        <v>0</v>
      </c>
      <c r="T71" s="79">
        <f t="shared" si="8"/>
        <v>5</v>
      </c>
      <c r="U71" s="1" t="b">
        <f t="shared" si="6"/>
        <v>0</v>
      </c>
      <c r="V71" s="46"/>
    </row>
    <row r="72" spans="1:22" x14ac:dyDescent="0.45">
      <c r="A72" s="42"/>
      <c r="B72" s="77" t="s">
        <v>140</v>
      </c>
      <c r="C72" s="77" t="s">
        <v>147</v>
      </c>
      <c r="D72" s="78">
        <v>2008</v>
      </c>
      <c r="E72" s="78">
        <v>2008</v>
      </c>
      <c r="F72" s="78">
        <v>3814</v>
      </c>
      <c r="G72" s="78">
        <v>300</v>
      </c>
      <c r="H72" s="78">
        <v>295</v>
      </c>
      <c r="I72" s="79">
        <f t="shared" si="0"/>
        <v>298.33333333333331</v>
      </c>
      <c r="J72" s="79">
        <f t="shared" si="1"/>
        <v>12.784357541899443</v>
      </c>
      <c r="K72" s="79">
        <f t="shared" si="2"/>
        <v>57.666480446927366</v>
      </c>
      <c r="L72" s="87">
        <v>70</v>
      </c>
      <c r="M72" s="79">
        <f t="shared" si="3"/>
        <v>5</v>
      </c>
      <c r="N72" s="79">
        <f t="shared" si="7"/>
        <v>62.666480446927366</v>
      </c>
      <c r="O72" s="78" t="str">
        <f t="shared" si="4"/>
        <v>T60</v>
      </c>
      <c r="P72" s="1" t="b">
        <f t="shared" si="5"/>
        <v>0</v>
      </c>
      <c r="R72" s="43" t="b">
        <v>0</v>
      </c>
      <c r="T72" s="79">
        <f t="shared" si="8"/>
        <v>5</v>
      </c>
      <c r="U72" s="1" t="b">
        <f t="shared" si="6"/>
        <v>0</v>
      </c>
      <c r="V72" s="46"/>
    </row>
    <row r="73" spans="1:22" x14ac:dyDescent="0.45">
      <c r="A73" s="42"/>
      <c r="B73" s="90" t="s">
        <v>140</v>
      </c>
      <c r="C73" s="90" t="s">
        <v>571</v>
      </c>
      <c r="D73" s="86">
        <v>2017</v>
      </c>
      <c r="E73" s="86"/>
      <c r="F73" s="86">
        <v>3802</v>
      </c>
      <c r="G73" s="86">
        <v>320</v>
      </c>
      <c r="H73" s="86">
        <v>332</v>
      </c>
      <c r="I73" s="85">
        <f t="shared" si="0"/>
        <v>324</v>
      </c>
      <c r="J73" s="85">
        <f t="shared" si="1"/>
        <v>11.734567901234568</v>
      </c>
      <c r="K73" s="79">
        <f t="shared" si="2"/>
        <v>62.128086419753089</v>
      </c>
      <c r="L73" s="87">
        <v>70</v>
      </c>
      <c r="M73" s="79">
        <f t="shared" si="3"/>
        <v>5</v>
      </c>
      <c r="N73" s="79">
        <f t="shared" si="7"/>
        <v>67.128086419753089</v>
      </c>
      <c r="O73" s="78" t="str">
        <f t="shared" si="4"/>
        <v>T60</v>
      </c>
      <c r="P73" s="1" t="b">
        <f t="shared" si="5"/>
        <v>0</v>
      </c>
      <c r="R73" s="43" t="b">
        <v>0</v>
      </c>
      <c r="T73" s="79">
        <f t="shared" si="8"/>
        <v>5</v>
      </c>
      <c r="U73" s="1" t="b">
        <f t="shared" si="6"/>
        <v>0</v>
      </c>
      <c r="V73" s="46"/>
    </row>
    <row r="74" spans="1:22" x14ac:dyDescent="0.45">
      <c r="A74" s="42"/>
      <c r="B74" s="77" t="s">
        <v>140</v>
      </c>
      <c r="C74" s="77" t="s">
        <v>148</v>
      </c>
      <c r="D74" s="78">
        <v>1995</v>
      </c>
      <c r="E74" s="78">
        <v>2000</v>
      </c>
      <c r="F74" s="78">
        <v>3252</v>
      </c>
      <c r="G74" s="78">
        <v>190</v>
      </c>
      <c r="H74" s="78">
        <v>210</v>
      </c>
      <c r="I74" s="79">
        <f t="shared" si="0"/>
        <v>196.66666666666666</v>
      </c>
      <c r="J74" s="79">
        <f t="shared" si="1"/>
        <v>16.535593220338985</v>
      </c>
      <c r="K74" s="79">
        <f t="shared" si="2"/>
        <v>41.723728813559319</v>
      </c>
      <c r="L74" s="79">
        <v>65</v>
      </c>
      <c r="M74" s="79">
        <f t="shared" si="3"/>
        <v>2.5</v>
      </c>
      <c r="N74" s="79">
        <f t="shared" si="7"/>
        <v>44.223728813559319</v>
      </c>
      <c r="O74" s="78" t="str">
        <f t="shared" si="4"/>
        <v>T40</v>
      </c>
      <c r="P74" s="1" t="b">
        <f t="shared" si="5"/>
        <v>0</v>
      </c>
      <c r="R74" s="43" t="b">
        <v>0</v>
      </c>
      <c r="T74" s="79">
        <f t="shared" si="8"/>
        <v>2.5</v>
      </c>
      <c r="U74" s="1" t="b">
        <f t="shared" si="6"/>
        <v>0</v>
      </c>
      <c r="V74" s="46"/>
    </row>
    <row r="75" spans="1:22" x14ac:dyDescent="0.45">
      <c r="A75" s="42"/>
      <c r="B75" s="77" t="s">
        <v>140</v>
      </c>
      <c r="C75" s="77" t="s">
        <v>149</v>
      </c>
      <c r="D75" s="78">
        <v>2000</v>
      </c>
      <c r="E75" s="78">
        <v>2003</v>
      </c>
      <c r="F75" s="78">
        <v>3472</v>
      </c>
      <c r="G75" s="78">
        <v>228</v>
      </c>
      <c r="H75" s="78">
        <v>220</v>
      </c>
      <c r="I75" s="79">
        <f t="shared" si="0"/>
        <v>225.33333333333331</v>
      </c>
      <c r="J75" s="79">
        <f t="shared" si="1"/>
        <v>15.40828402366864</v>
      </c>
      <c r="K75" s="79">
        <f t="shared" si="2"/>
        <v>46.514792899408278</v>
      </c>
      <c r="L75" s="79">
        <v>65</v>
      </c>
      <c r="M75" s="79">
        <f t="shared" si="3"/>
        <v>2.5</v>
      </c>
      <c r="N75" s="79">
        <f t="shared" si="7"/>
        <v>49.014792899408278</v>
      </c>
      <c r="O75" s="78" t="str">
        <f t="shared" si="4"/>
        <v>T40</v>
      </c>
      <c r="P75" s="1" t="b">
        <f t="shared" si="5"/>
        <v>0</v>
      </c>
      <c r="R75" s="43" t="b">
        <v>0</v>
      </c>
      <c r="T75" s="79">
        <f t="shared" si="8"/>
        <v>2.5</v>
      </c>
      <c r="U75" s="1" t="b">
        <f t="shared" si="6"/>
        <v>0</v>
      </c>
      <c r="V75" s="46"/>
    </row>
    <row r="76" spans="1:22" x14ac:dyDescent="0.45">
      <c r="A76" s="42"/>
      <c r="B76" s="77" t="s">
        <v>140</v>
      </c>
      <c r="C76" s="77" t="s">
        <v>373</v>
      </c>
      <c r="D76" s="78">
        <v>1985</v>
      </c>
      <c r="E76" s="78">
        <v>1988</v>
      </c>
      <c r="F76" s="78">
        <v>3249</v>
      </c>
      <c r="G76" s="78">
        <v>182</v>
      </c>
      <c r="H76" s="78">
        <v>214</v>
      </c>
      <c r="I76" s="79">
        <f t="shared" ref="I76:I139" si="9">G76*(2/3)+H76*(1/3)</f>
        <v>192.66666666666666</v>
      </c>
      <c r="J76" s="79">
        <f t="shared" ref="J76:J139" si="10">F76/I76</f>
        <v>16.863321799307958</v>
      </c>
      <c r="K76" s="79">
        <f t="shared" ref="K76:K139" si="11">J76*-4.25+112</f>
        <v>40.330882352941174</v>
      </c>
      <c r="L76" s="79">
        <v>40</v>
      </c>
      <c r="M76" s="79">
        <f t="shared" ref="M76:M139" si="12">(L76-60)/3*1.5</f>
        <v>-10</v>
      </c>
      <c r="N76" s="79">
        <f t="shared" si="7"/>
        <v>30.330882352941174</v>
      </c>
      <c r="O76" s="78" t="str">
        <f t="shared" ref="O76:O139" si="13">INDEX(Base_Classes, MATCH($N76, Base_Assessments, 1)+1)</f>
        <v>T30</v>
      </c>
      <c r="P76" s="1" t="b">
        <f t="shared" ref="P76:P139" si="14">OR(R76,A76)</f>
        <v>0</v>
      </c>
      <c r="R76" s="43" t="b">
        <v>0</v>
      </c>
      <c r="T76" s="79">
        <f t="shared" si="8"/>
        <v>-10</v>
      </c>
      <c r="U76" s="1" t="b">
        <f t="shared" ref="U76:U139" si="15">AND(P76,$S$9)</f>
        <v>0</v>
      </c>
      <c r="V76" s="46"/>
    </row>
    <row r="77" spans="1:22" x14ac:dyDescent="0.45">
      <c r="A77" s="42"/>
      <c r="B77" s="77" t="s">
        <v>140</v>
      </c>
      <c r="C77" s="77" t="s">
        <v>150</v>
      </c>
      <c r="D77" s="78">
        <v>1996</v>
      </c>
      <c r="E77" s="78">
        <v>2003</v>
      </c>
      <c r="F77" s="78">
        <v>3803</v>
      </c>
      <c r="G77" s="78">
        <v>282</v>
      </c>
      <c r="H77" s="78">
        <v>320</v>
      </c>
      <c r="I77" s="79">
        <f t="shared" si="9"/>
        <v>294.66666666666663</v>
      </c>
      <c r="J77" s="79">
        <f t="shared" si="10"/>
        <v>12.906108597285069</v>
      </c>
      <c r="K77" s="79">
        <f t="shared" si="11"/>
        <v>57.149038461538453</v>
      </c>
      <c r="L77" s="79">
        <v>65</v>
      </c>
      <c r="M77" s="79">
        <f t="shared" si="12"/>
        <v>2.5</v>
      </c>
      <c r="N77" s="79">
        <f t="shared" ref="N77:N140" si="16">M77+K77</f>
        <v>59.649038461538453</v>
      </c>
      <c r="O77" s="78" t="str">
        <f t="shared" si="13"/>
        <v>T50</v>
      </c>
      <c r="P77" s="1" t="b">
        <f t="shared" si="14"/>
        <v>0</v>
      </c>
      <c r="R77" s="43" t="b">
        <v>0</v>
      </c>
      <c r="T77" s="79">
        <f t="shared" ref="T77:T140" si="17">(L77-60)/3*1.5</f>
        <v>2.5</v>
      </c>
      <c r="U77" s="1" t="b">
        <f t="shared" si="15"/>
        <v>0</v>
      </c>
      <c r="V77" s="46"/>
    </row>
    <row r="78" spans="1:22" x14ac:dyDescent="0.45">
      <c r="A78" s="42"/>
      <c r="B78" s="77" t="s">
        <v>140</v>
      </c>
      <c r="C78" s="77" t="s">
        <v>732</v>
      </c>
      <c r="D78" s="78">
        <v>1987</v>
      </c>
      <c r="E78" s="78">
        <v>1991</v>
      </c>
      <c r="F78" s="78">
        <v>2866</v>
      </c>
      <c r="G78" s="78">
        <v>192</v>
      </c>
      <c r="H78" s="78">
        <v>170</v>
      </c>
      <c r="I78" s="79">
        <f t="shared" si="9"/>
        <v>184.66666666666666</v>
      </c>
      <c r="J78" s="79">
        <f t="shared" si="10"/>
        <v>15.51985559566787</v>
      </c>
      <c r="K78" s="79">
        <f t="shared" si="11"/>
        <v>46.040613718411549</v>
      </c>
      <c r="L78" s="79">
        <v>70</v>
      </c>
      <c r="M78" s="79">
        <f t="shared" si="12"/>
        <v>5</v>
      </c>
      <c r="N78" s="79">
        <f t="shared" si="16"/>
        <v>51.040613718411549</v>
      </c>
      <c r="O78" s="78" t="str">
        <f t="shared" si="13"/>
        <v>T50</v>
      </c>
      <c r="P78" s="1" t="b">
        <f t="shared" si="14"/>
        <v>0</v>
      </c>
      <c r="R78" s="43" t="b">
        <v>0</v>
      </c>
      <c r="T78" s="79">
        <f t="shared" si="17"/>
        <v>5</v>
      </c>
      <c r="U78" s="1" t="b">
        <f t="shared" si="15"/>
        <v>0</v>
      </c>
      <c r="V78" s="46"/>
    </row>
    <row r="79" spans="1:22" x14ac:dyDescent="0.45">
      <c r="A79" s="42"/>
      <c r="B79" s="77" t="s">
        <v>140</v>
      </c>
      <c r="C79" s="77" t="s">
        <v>733</v>
      </c>
      <c r="D79" s="78">
        <v>1995</v>
      </c>
      <c r="E79" s="78">
        <v>1995</v>
      </c>
      <c r="F79" s="78">
        <v>3175</v>
      </c>
      <c r="G79" s="78">
        <v>240</v>
      </c>
      <c r="H79" s="78">
        <v>225</v>
      </c>
      <c r="I79" s="79">
        <f t="shared" si="9"/>
        <v>235</v>
      </c>
      <c r="J79" s="79">
        <f t="shared" si="10"/>
        <v>13.51063829787234</v>
      </c>
      <c r="K79" s="79">
        <f t="shared" si="11"/>
        <v>54.579787234042556</v>
      </c>
      <c r="L79" s="79">
        <v>81</v>
      </c>
      <c r="M79" s="79">
        <f t="shared" si="12"/>
        <v>10.5</v>
      </c>
      <c r="N79" s="79">
        <f t="shared" si="16"/>
        <v>65.079787234042556</v>
      </c>
      <c r="O79" s="78" t="str">
        <f t="shared" si="13"/>
        <v>T60</v>
      </c>
      <c r="P79" s="1" t="b">
        <f t="shared" si="14"/>
        <v>0</v>
      </c>
      <c r="R79" s="43" t="b">
        <v>0</v>
      </c>
      <c r="T79" s="79">
        <f t="shared" si="17"/>
        <v>10.5</v>
      </c>
      <c r="U79" s="1" t="b">
        <f t="shared" si="15"/>
        <v>0</v>
      </c>
      <c r="V79" s="46"/>
    </row>
    <row r="80" spans="1:22" x14ac:dyDescent="0.45">
      <c r="A80" s="42"/>
      <c r="B80" s="77" t="s">
        <v>140</v>
      </c>
      <c r="C80" s="77" t="s">
        <v>734</v>
      </c>
      <c r="D80" s="78">
        <v>1997</v>
      </c>
      <c r="E80" s="78">
        <v>1999</v>
      </c>
      <c r="F80" s="78">
        <v>3175</v>
      </c>
      <c r="G80" s="78">
        <v>240</v>
      </c>
      <c r="H80" s="78">
        <v>236</v>
      </c>
      <c r="I80" s="79">
        <f t="shared" si="9"/>
        <v>238.66666666666666</v>
      </c>
      <c r="J80" s="79">
        <f t="shared" si="10"/>
        <v>13.303072625698325</v>
      </c>
      <c r="K80" s="79">
        <f t="shared" si="11"/>
        <v>55.461941340782118</v>
      </c>
      <c r="L80" s="79">
        <v>81</v>
      </c>
      <c r="M80" s="79">
        <f t="shared" si="12"/>
        <v>10.5</v>
      </c>
      <c r="N80" s="79">
        <f t="shared" si="16"/>
        <v>65.961941340782118</v>
      </c>
      <c r="O80" s="78" t="str">
        <f t="shared" si="13"/>
        <v>T60</v>
      </c>
      <c r="P80" s="1" t="b">
        <f t="shared" si="14"/>
        <v>0</v>
      </c>
      <c r="R80" s="43" t="b">
        <v>0</v>
      </c>
      <c r="T80" s="79">
        <f t="shared" si="17"/>
        <v>10.5</v>
      </c>
      <c r="U80" s="1" t="b">
        <f t="shared" si="15"/>
        <v>0</v>
      </c>
      <c r="V80" s="46"/>
    </row>
    <row r="81" spans="1:22" x14ac:dyDescent="0.45">
      <c r="A81" s="42"/>
      <c r="B81" s="77" t="s">
        <v>140</v>
      </c>
      <c r="C81" s="77" t="s">
        <v>735</v>
      </c>
      <c r="D81" s="78">
        <v>2001</v>
      </c>
      <c r="E81" s="78">
        <v>2006</v>
      </c>
      <c r="F81" s="78">
        <v>3415</v>
      </c>
      <c r="G81" s="78">
        <v>333</v>
      </c>
      <c r="H81" s="78">
        <v>269</v>
      </c>
      <c r="I81" s="79">
        <f t="shared" si="9"/>
        <v>311.66666666666663</v>
      </c>
      <c r="J81" s="79">
        <f t="shared" si="10"/>
        <v>10.9572192513369</v>
      </c>
      <c r="K81" s="79">
        <f t="shared" si="11"/>
        <v>65.431818181818173</v>
      </c>
      <c r="L81" s="79">
        <v>80</v>
      </c>
      <c r="M81" s="79">
        <f t="shared" si="12"/>
        <v>10</v>
      </c>
      <c r="N81" s="79">
        <f t="shared" si="16"/>
        <v>75.431818181818173</v>
      </c>
      <c r="O81" s="78" t="str">
        <f t="shared" si="13"/>
        <v>T70</v>
      </c>
      <c r="P81" s="1" t="b">
        <f t="shared" si="14"/>
        <v>0</v>
      </c>
      <c r="R81" s="43" t="b">
        <v>0</v>
      </c>
      <c r="T81" s="79">
        <f t="shared" si="17"/>
        <v>10</v>
      </c>
      <c r="U81" s="1" t="b">
        <f t="shared" si="15"/>
        <v>0</v>
      </c>
      <c r="V81" s="46"/>
    </row>
    <row r="82" spans="1:22" x14ac:dyDescent="0.45">
      <c r="A82" s="42"/>
      <c r="B82" s="77" t="s">
        <v>140</v>
      </c>
      <c r="C82" s="77" t="s">
        <v>736</v>
      </c>
      <c r="D82" s="78">
        <v>2007</v>
      </c>
      <c r="E82" s="78">
        <v>2008</v>
      </c>
      <c r="F82" s="78">
        <v>3704</v>
      </c>
      <c r="G82" s="78">
        <v>414</v>
      </c>
      <c r="H82" s="78">
        <v>295</v>
      </c>
      <c r="I82" s="79">
        <f t="shared" si="9"/>
        <v>374.33333333333331</v>
      </c>
      <c r="J82" s="79">
        <f t="shared" si="10"/>
        <v>9.8949243098842388</v>
      </c>
      <c r="K82" s="79">
        <f t="shared" si="11"/>
        <v>69.946571682991987</v>
      </c>
      <c r="L82" s="79">
        <v>80</v>
      </c>
      <c r="M82" s="79">
        <f t="shared" si="12"/>
        <v>10</v>
      </c>
      <c r="N82" s="79">
        <f t="shared" si="16"/>
        <v>79.946571682991987</v>
      </c>
      <c r="O82" s="78" t="str">
        <f t="shared" si="13"/>
        <v>T70</v>
      </c>
      <c r="P82" s="1" t="b">
        <f t="shared" si="14"/>
        <v>0</v>
      </c>
      <c r="R82" s="43" t="b">
        <v>0</v>
      </c>
      <c r="T82" s="79">
        <f t="shared" si="17"/>
        <v>10</v>
      </c>
      <c r="U82" s="1" t="b">
        <f t="shared" si="15"/>
        <v>0</v>
      </c>
      <c r="V82" s="46"/>
    </row>
    <row r="83" spans="1:22" x14ac:dyDescent="0.45">
      <c r="A83" s="42"/>
      <c r="B83" s="77" t="s">
        <v>140</v>
      </c>
      <c r="C83" s="77" t="s">
        <v>737</v>
      </c>
      <c r="D83" s="78">
        <v>2015</v>
      </c>
      <c r="E83" s="78">
        <v>2018</v>
      </c>
      <c r="F83" s="78">
        <v>3540</v>
      </c>
      <c r="G83" s="78">
        <v>425</v>
      </c>
      <c r="H83" s="78">
        <v>406</v>
      </c>
      <c r="I83" s="79">
        <f t="shared" si="9"/>
        <v>418.66666666666663</v>
      </c>
      <c r="J83" s="79">
        <f t="shared" si="10"/>
        <v>8.4554140127388546</v>
      </c>
      <c r="K83" s="79">
        <f t="shared" si="11"/>
        <v>76.06449044585986</v>
      </c>
      <c r="L83" s="79">
        <v>90</v>
      </c>
      <c r="M83" s="79">
        <f t="shared" si="12"/>
        <v>15</v>
      </c>
      <c r="N83" s="79">
        <f t="shared" si="16"/>
        <v>91.06449044585986</v>
      </c>
      <c r="O83" s="78" t="str">
        <f t="shared" si="13"/>
        <v>T90</v>
      </c>
      <c r="P83" s="1" t="b">
        <f t="shared" si="14"/>
        <v>0</v>
      </c>
      <c r="R83" s="43" t="b">
        <v>0</v>
      </c>
      <c r="T83" s="79">
        <f t="shared" si="17"/>
        <v>15</v>
      </c>
      <c r="U83" s="1" t="b">
        <f t="shared" si="15"/>
        <v>0</v>
      </c>
      <c r="V83" s="46"/>
    </row>
    <row r="84" spans="1:22" x14ac:dyDescent="0.45">
      <c r="A84" s="42"/>
      <c r="B84" s="77" t="s">
        <v>140</v>
      </c>
      <c r="C84" s="77" t="s">
        <v>738</v>
      </c>
      <c r="D84" s="78">
        <v>2016</v>
      </c>
      <c r="E84" s="78">
        <v>2020</v>
      </c>
      <c r="F84" s="78">
        <v>3494</v>
      </c>
      <c r="G84" s="78">
        <v>493</v>
      </c>
      <c r="H84" s="78">
        <v>443</v>
      </c>
      <c r="I84" s="79">
        <f t="shared" si="9"/>
        <v>476.33333333333326</v>
      </c>
      <c r="J84" s="79">
        <f t="shared" si="10"/>
        <v>7.3351994401679512</v>
      </c>
      <c r="K84" s="79">
        <f t="shared" si="11"/>
        <v>80.825402379286203</v>
      </c>
      <c r="L84" s="79">
        <v>90</v>
      </c>
      <c r="M84" s="79">
        <f t="shared" si="12"/>
        <v>15</v>
      </c>
      <c r="N84" s="79">
        <f t="shared" si="16"/>
        <v>95.825402379286203</v>
      </c>
      <c r="O84" s="78" t="str">
        <f t="shared" si="13"/>
        <v>T90</v>
      </c>
      <c r="P84" s="1" t="b">
        <f t="shared" si="14"/>
        <v>0</v>
      </c>
      <c r="R84" s="43" t="b">
        <v>0</v>
      </c>
      <c r="T84" s="79">
        <f t="shared" si="17"/>
        <v>15</v>
      </c>
      <c r="U84" s="1" t="b">
        <f t="shared" si="15"/>
        <v>0</v>
      </c>
      <c r="V84" s="46"/>
    </row>
    <row r="85" spans="1:22" x14ac:dyDescent="0.45">
      <c r="A85" s="42"/>
      <c r="B85" s="77" t="s">
        <v>140</v>
      </c>
      <c r="C85" s="77" t="s">
        <v>739</v>
      </c>
      <c r="D85" s="78">
        <v>2015</v>
      </c>
      <c r="E85" s="78">
        <v>2020</v>
      </c>
      <c r="F85" s="78">
        <v>3530</v>
      </c>
      <c r="G85" s="78">
        <v>425</v>
      </c>
      <c r="H85" s="78">
        <v>406</v>
      </c>
      <c r="I85" s="79">
        <f t="shared" si="9"/>
        <v>418.66666666666663</v>
      </c>
      <c r="J85" s="79">
        <f t="shared" si="10"/>
        <v>8.4315286624203836</v>
      </c>
      <c r="K85" s="79">
        <f t="shared" si="11"/>
        <v>76.166003184713361</v>
      </c>
      <c r="L85" s="79">
        <v>90</v>
      </c>
      <c r="M85" s="79">
        <f t="shared" si="12"/>
        <v>15</v>
      </c>
      <c r="N85" s="79">
        <f t="shared" si="16"/>
        <v>91.166003184713361</v>
      </c>
      <c r="O85" s="78" t="str">
        <f t="shared" si="13"/>
        <v>T90</v>
      </c>
      <c r="P85" s="1" t="b">
        <f t="shared" si="14"/>
        <v>0</v>
      </c>
      <c r="R85" s="43" t="b">
        <v>0</v>
      </c>
      <c r="T85" s="79">
        <f t="shared" si="17"/>
        <v>15</v>
      </c>
      <c r="U85" s="1" t="b">
        <f t="shared" si="15"/>
        <v>0</v>
      </c>
      <c r="V85" s="46"/>
    </row>
    <row r="86" spans="1:22" x14ac:dyDescent="0.45">
      <c r="A86" s="42"/>
      <c r="B86" s="77" t="s">
        <v>140</v>
      </c>
      <c r="C86" s="77" t="s">
        <v>740</v>
      </c>
      <c r="D86" s="78">
        <v>2015</v>
      </c>
      <c r="E86" s="78">
        <v>2020</v>
      </c>
      <c r="F86" s="78">
        <v>3530</v>
      </c>
      <c r="G86" s="78">
        <v>444</v>
      </c>
      <c r="H86" s="78">
        <v>450</v>
      </c>
      <c r="I86" s="79">
        <f t="shared" si="9"/>
        <v>446</v>
      </c>
      <c r="J86" s="79">
        <f t="shared" si="10"/>
        <v>7.9147982062780269</v>
      </c>
      <c r="K86" s="79">
        <f t="shared" si="11"/>
        <v>78.362107623318394</v>
      </c>
      <c r="L86" s="79">
        <v>100</v>
      </c>
      <c r="M86" s="79">
        <f t="shared" si="12"/>
        <v>20</v>
      </c>
      <c r="N86" s="79">
        <f t="shared" si="16"/>
        <v>98.362107623318394</v>
      </c>
      <c r="O86" s="78" t="str">
        <f t="shared" si="13"/>
        <v>T90</v>
      </c>
      <c r="P86" s="1" t="b">
        <f t="shared" si="14"/>
        <v>0</v>
      </c>
      <c r="R86" s="43" t="b">
        <v>0</v>
      </c>
      <c r="T86" s="79">
        <f t="shared" si="17"/>
        <v>20</v>
      </c>
      <c r="U86" s="1" t="b">
        <f t="shared" si="15"/>
        <v>0</v>
      </c>
      <c r="V86" s="46"/>
    </row>
    <row r="87" spans="1:22" x14ac:dyDescent="0.45">
      <c r="A87" s="42"/>
      <c r="B87" s="77" t="s">
        <v>140</v>
      </c>
      <c r="C87" s="77" t="s">
        <v>741</v>
      </c>
      <c r="D87" s="78">
        <v>2021</v>
      </c>
      <c r="E87" s="78"/>
      <c r="F87" s="78">
        <v>3690</v>
      </c>
      <c r="G87" s="78">
        <v>473</v>
      </c>
      <c r="H87" s="78">
        <v>406</v>
      </c>
      <c r="I87" s="79">
        <f t="shared" si="9"/>
        <v>450.66666666666663</v>
      </c>
      <c r="J87" s="79">
        <f t="shared" si="10"/>
        <v>8.187869822485208</v>
      </c>
      <c r="K87" s="79">
        <f t="shared" si="11"/>
        <v>77.201553254437869</v>
      </c>
      <c r="L87" s="79">
        <v>90</v>
      </c>
      <c r="M87" s="79">
        <f t="shared" si="12"/>
        <v>15</v>
      </c>
      <c r="N87" s="79">
        <f t="shared" si="16"/>
        <v>92.201553254437869</v>
      </c>
      <c r="O87" s="78" t="str">
        <f t="shared" si="13"/>
        <v>T90</v>
      </c>
      <c r="P87" s="1" t="b">
        <f t="shared" si="14"/>
        <v>0</v>
      </c>
      <c r="R87" s="43" t="b">
        <v>0</v>
      </c>
      <c r="T87" s="79">
        <f t="shared" si="17"/>
        <v>15</v>
      </c>
      <c r="U87" s="1" t="b">
        <f t="shared" si="15"/>
        <v>0</v>
      </c>
      <c r="V87" s="46"/>
    </row>
    <row r="88" spans="1:22" x14ac:dyDescent="0.45">
      <c r="A88" s="42"/>
      <c r="B88" s="77" t="s">
        <v>140</v>
      </c>
      <c r="C88" s="77" t="s">
        <v>742</v>
      </c>
      <c r="D88" s="78">
        <v>2021</v>
      </c>
      <c r="E88" s="78"/>
      <c r="F88" s="78">
        <v>3746</v>
      </c>
      <c r="G88" s="78">
        <v>503</v>
      </c>
      <c r="H88" s="78">
        <v>479</v>
      </c>
      <c r="I88" s="79">
        <f t="shared" si="9"/>
        <v>495</v>
      </c>
      <c r="J88" s="79">
        <f t="shared" si="10"/>
        <v>7.567676767676768</v>
      </c>
      <c r="K88" s="79">
        <f t="shared" si="11"/>
        <v>79.837373737373738</v>
      </c>
      <c r="L88" s="79">
        <v>100</v>
      </c>
      <c r="M88" s="79">
        <f t="shared" si="12"/>
        <v>20</v>
      </c>
      <c r="N88" s="79">
        <f t="shared" si="16"/>
        <v>99.837373737373738</v>
      </c>
      <c r="O88" s="78" t="str">
        <f t="shared" si="13"/>
        <v>T90</v>
      </c>
      <c r="P88" s="1" t="b">
        <f t="shared" si="14"/>
        <v>0</v>
      </c>
      <c r="R88" s="43" t="b">
        <v>0</v>
      </c>
      <c r="T88" s="79">
        <f t="shared" si="17"/>
        <v>20</v>
      </c>
      <c r="U88" s="1" t="b">
        <f t="shared" si="15"/>
        <v>0</v>
      </c>
      <c r="V88" s="46"/>
    </row>
    <row r="89" spans="1:22" x14ac:dyDescent="0.45">
      <c r="A89" s="42"/>
      <c r="B89" s="77" t="s">
        <v>140</v>
      </c>
      <c r="C89" s="77" t="s">
        <v>151</v>
      </c>
      <c r="D89" s="78">
        <v>1998</v>
      </c>
      <c r="E89" s="78">
        <v>2000</v>
      </c>
      <c r="F89" s="78">
        <v>3131</v>
      </c>
      <c r="G89" s="78">
        <v>240</v>
      </c>
      <c r="H89" s="78">
        <v>236</v>
      </c>
      <c r="I89" s="79">
        <f t="shared" si="9"/>
        <v>238.66666666666666</v>
      </c>
      <c r="J89" s="79">
        <f t="shared" si="10"/>
        <v>13.118715083798882</v>
      </c>
      <c r="K89" s="79">
        <f t="shared" si="11"/>
        <v>56.245460893854748</v>
      </c>
      <c r="L89" s="79">
        <v>70</v>
      </c>
      <c r="M89" s="79">
        <f t="shared" si="12"/>
        <v>5</v>
      </c>
      <c r="N89" s="79">
        <f t="shared" si="16"/>
        <v>61.245460893854748</v>
      </c>
      <c r="O89" s="78" t="str">
        <f t="shared" si="13"/>
        <v>T60</v>
      </c>
      <c r="P89" s="1" t="b">
        <f t="shared" si="14"/>
        <v>0</v>
      </c>
      <c r="R89" s="43" t="b">
        <v>0</v>
      </c>
      <c r="T89" s="79">
        <f t="shared" si="17"/>
        <v>5</v>
      </c>
      <c r="U89" s="1" t="b">
        <f t="shared" si="15"/>
        <v>0</v>
      </c>
      <c r="V89" s="46"/>
    </row>
    <row r="90" spans="1:22" x14ac:dyDescent="0.45">
      <c r="A90" s="42"/>
      <c r="B90" s="77" t="s">
        <v>140</v>
      </c>
      <c r="C90" s="77" t="s">
        <v>151</v>
      </c>
      <c r="D90" s="78">
        <v>2001</v>
      </c>
      <c r="E90" s="78">
        <v>2002</v>
      </c>
      <c r="F90" s="78">
        <v>3131</v>
      </c>
      <c r="G90" s="78">
        <v>315</v>
      </c>
      <c r="H90" s="78">
        <v>261</v>
      </c>
      <c r="I90" s="79">
        <f t="shared" si="9"/>
        <v>297</v>
      </c>
      <c r="J90" s="79">
        <f t="shared" si="10"/>
        <v>10.542087542087542</v>
      </c>
      <c r="K90" s="79">
        <f t="shared" si="11"/>
        <v>67.196127946127945</v>
      </c>
      <c r="L90" s="79">
        <v>70</v>
      </c>
      <c r="M90" s="79">
        <f t="shared" si="12"/>
        <v>5</v>
      </c>
      <c r="N90" s="79">
        <f t="shared" si="16"/>
        <v>72.196127946127945</v>
      </c>
      <c r="O90" s="78" t="str">
        <f t="shared" si="13"/>
        <v>T70</v>
      </c>
      <c r="P90" s="1" t="b">
        <f t="shared" si="14"/>
        <v>0</v>
      </c>
      <c r="R90" s="43" t="b">
        <v>0</v>
      </c>
      <c r="T90" s="79">
        <f t="shared" si="17"/>
        <v>5</v>
      </c>
      <c r="U90" s="1" t="b">
        <f t="shared" si="15"/>
        <v>0</v>
      </c>
      <c r="V90" s="46"/>
    </row>
    <row r="91" spans="1:22" x14ac:dyDescent="0.45">
      <c r="A91" s="42"/>
      <c r="B91" s="77" t="s">
        <v>140</v>
      </c>
      <c r="C91" s="77" t="s">
        <v>374</v>
      </c>
      <c r="D91" s="78">
        <v>1998</v>
      </c>
      <c r="E91" s="78">
        <v>2000</v>
      </c>
      <c r="F91" s="78">
        <v>3084</v>
      </c>
      <c r="G91" s="78">
        <v>240</v>
      </c>
      <c r="H91" s="78">
        <v>236</v>
      </c>
      <c r="I91" s="79">
        <f t="shared" si="9"/>
        <v>238.66666666666666</v>
      </c>
      <c r="J91" s="79">
        <f t="shared" si="10"/>
        <v>12.921787709497208</v>
      </c>
      <c r="K91" s="79">
        <f t="shared" si="11"/>
        <v>57.082402234636866</v>
      </c>
      <c r="L91" s="79">
        <v>65</v>
      </c>
      <c r="M91" s="79">
        <f t="shared" si="12"/>
        <v>2.5</v>
      </c>
      <c r="N91" s="79">
        <f t="shared" si="16"/>
        <v>59.582402234636866</v>
      </c>
      <c r="O91" s="78" t="str">
        <f t="shared" si="13"/>
        <v>T50</v>
      </c>
      <c r="P91" s="1" t="b">
        <f t="shared" si="14"/>
        <v>0</v>
      </c>
      <c r="R91" s="43" t="b">
        <v>0</v>
      </c>
      <c r="T91" s="79">
        <f t="shared" si="17"/>
        <v>2.5</v>
      </c>
      <c r="U91" s="1" t="b">
        <f t="shared" si="15"/>
        <v>0</v>
      </c>
      <c r="V91" s="46"/>
    </row>
    <row r="92" spans="1:22" x14ac:dyDescent="0.45">
      <c r="A92" s="42"/>
      <c r="B92" s="77" t="s">
        <v>140</v>
      </c>
      <c r="C92" s="77" t="s">
        <v>374</v>
      </c>
      <c r="D92" s="78">
        <v>2001</v>
      </c>
      <c r="E92" s="78">
        <v>2002</v>
      </c>
      <c r="F92" s="78">
        <v>3084</v>
      </c>
      <c r="G92" s="78">
        <v>315</v>
      </c>
      <c r="H92" s="78">
        <v>261</v>
      </c>
      <c r="I92" s="79">
        <f t="shared" si="9"/>
        <v>297</v>
      </c>
      <c r="J92" s="79">
        <f t="shared" si="10"/>
        <v>10.383838383838384</v>
      </c>
      <c r="K92" s="79">
        <f t="shared" si="11"/>
        <v>67.868686868686865</v>
      </c>
      <c r="L92" s="79">
        <v>65</v>
      </c>
      <c r="M92" s="79">
        <f t="shared" si="12"/>
        <v>2.5</v>
      </c>
      <c r="N92" s="79">
        <f t="shared" si="16"/>
        <v>70.368686868686865</v>
      </c>
      <c r="O92" s="78" t="str">
        <f t="shared" si="13"/>
        <v>T70</v>
      </c>
      <c r="P92" s="1" t="b">
        <f t="shared" si="14"/>
        <v>0</v>
      </c>
      <c r="R92" s="43" t="b">
        <v>0</v>
      </c>
      <c r="T92" s="79">
        <f t="shared" si="17"/>
        <v>2.5</v>
      </c>
      <c r="U92" s="1" t="b">
        <f t="shared" si="15"/>
        <v>0</v>
      </c>
      <c r="V92" s="46"/>
    </row>
    <row r="93" spans="1:22" x14ac:dyDescent="0.45">
      <c r="A93" s="42"/>
      <c r="B93" s="89" t="s">
        <v>140</v>
      </c>
      <c r="C93" s="89" t="s">
        <v>560</v>
      </c>
      <c r="D93" s="84">
        <v>2016</v>
      </c>
      <c r="E93" s="84"/>
      <c r="F93" s="84">
        <v>3455</v>
      </c>
      <c r="G93" s="84">
        <v>365</v>
      </c>
      <c r="H93" s="84">
        <v>343</v>
      </c>
      <c r="I93" s="85">
        <f t="shared" si="9"/>
        <v>357.66666666666663</v>
      </c>
      <c r="J93" s="85">
        <f t="shared" si="10"/>
        <v>9.6598322460391444</v>
      </c>
      <c r="K93" s="79">
        <f t="shared" si="11"/>
        <v>70.945712954333629</v>
      </c>
      <c r="L93" s="85">
        <v>85</v>
      </c>
      <c r="M93" s="79">
        <f t="shared" si="12"/>
        <v>12.5</v>
      </c>
      <c r="N93" s="85">
        <f t="shared" si="16"/>
        <v>83.445712954333629</v>
      </c>
      <c r="O93" s="78" t="str">
        <f t="shared" si="13"/>
        <v>T80</v>
      </c>
      <c r="P93" s="1" t="b">
        <f t="shared" si="14"/>
        <v>0</v>
      </c>
      <c r="R93" s="43" t="b">
        <v>0</v>
      </c>
      <c r="T93" s="79">
        <f t="shared" si="17"/>
        <v>12.5</v>
      </c>
      <c r="U93" s="1" t="b">
        <f t="shared" si="15"/>
        <v>0</v>
      </c>
      <c r="V93" s="46"/>
    </row>
    <row r="94" spans="1:22" x14ac:dyDescent="0.45">
      <c r="A94" s="42"/>
      <c r="B94" s="89" t="s">
        <v>140</v>
      </c>
      <c r="C94" s="89" t="s">
        <v>789</v>
      </c>
      <c r="D94" s="84">
        <v>2019</v>
      </c>
      <c r="E94" s="84">
        <v>2020</v>
      </c>
      <c r="F94" s="84">
        <v>3472</v>
      </c>
      <c r="G94" s="84">
        <v>405</v>
      </c>
      <c r="H94" s="84">
        <v>406</v>
      </c>
      <c r="I94" s="79">
        <f t="shared" si="9"/>
        <v>405.33333333333331</v>
      </c>
      <c r="J94" s="79">
        <f t="shared" si="10"/>
        <v>8.5657894736842106</v>
      </c>
      <c r="K94" s="79">
        <f t="shared" si="11"/>
        <v>75.59539473684211</v>
      </c>
      <c r="L94" s="79">
        <v>85</v>
      </c>
      <c r="M94" s="79">
        <f t="shared" si="12"/>
        <v>12.5</v>
      </c>
      <c r="N94" s="79">
        <f t="shared" si="16"/>
        <v>88.09539473684211</v>
      </c>
      <c r="O94" s="78" t="str">
        <f t="shared" si="13"/>
        <v>T80</v>
      </c>
      <c r="P94" s="1" t="b">
        <f t="shared" si="14"/>
        <v>0</v>
      </c>
      <c r="R94" s="43" t="b">
        <v>0</v>
      </c>
      <c r="T94" s="79">
        <f t="shared" si="17"/>
        <v>12.5</v>
      </c>
      <c r="U94" s="1" t="b">
        <f t="shared" si="15"/>
        <v>0</v>
      </c>
      <c r="V94" s="46"/>
    </row>
    <row r="95" spans="1:22" x14ac:dyDescent="0.45">
      <c r="A95" s="42"/>
      <c r="B95" s="89" t="s">
        <v>140</v>
      </c>
      <c r="C95" s="89" t="s">
        <v>790</v>
      </c>
      <c r="D95" s="84">
        <v>2020</v>
      </c>
      <c r="E95" s="84">
        <v>2020</v>
      </c>
      <c r="F95" s="84">
        <v>3455</v>
      </c>
      <c r="G95" s="84">
        <v>444</v>
      </c>
      <c r="H95" s="84">
        <v>406</v>
      </c>
      <c r="I95" s="79">
        <f t="shared" si="9"/>
        <v>431.33333333333331</v>
      </c>
      <c r="J95" s="79">
        <f t="shared" si="10"/>
        <v>8.0100463678516238</v>
      </c>
      <c r="K95" s="79">
        <f t="shared" si="11"/>
        <v>77.957302936630597</v>
      </c>
      <c r="L95" s="79">
        <v>90</v>
      </c>
      <c r="M95" s="79">
        <f t="shared" si="12"/>
        <v>15</v>
      </c>
      <c r="N95" s="79">
        <f t="shared" si="16"/>
        <v>92.957302936630597</v>
      </c>
      <c r="O95" s="78" t="str">
        <f t="shared" si="13"/>
        <v>T90</v>
      </c>
      <c r="P95" s="1" t="b">
        <f t="shared" si="14"/>
        <v>0</v>
      </c>
      <c r="R95" s="43" t="b">
        <v>0</v>
      </c>
      <c r="T95" s="79">
        <f t="shared" si="17"/>
        <v>15</v>
      </c>
      <c r="U95" s="1" t="b">
        <f t="shared" si="15"/>
        <v>0</v>
      </c>
      <c r="V95" s="46"/>
    </row>
    <row r="96" spans="1:22" x14ac:dyDescent="0.45">
      <c r="A96" s="42"/>
      <c r="B96" s="77" t="s">
        <v>140</v>
      </c>
      <c r="C96" s="77" t="s">
        <v>655</v>
      </c>
      <c r="D96" s="78">
        <v>2016</v>
      </c>
      <c r="E96" s="78"/>
      <c r="F96" s="78">
        <v>3650</v>
      </c>
      <c r="G96" s="78">
        <v>320</v>
      </c>
      <c r="H96" s="78">
        <v>330</v>
      </c>
      <c r="I96" s="79">
        <f t="shared" si="9"/>
        <v>323.33333333333331</v>
      </c>
      <c r="J96" s="79">
        <f t="shared" si="10"/>
        <v>11.288659793814434</v>
      </c>
      <c r="K96" s="79">
        <f t="shared" si="11"/>
        <v>64.023195876288653</v>
      </c>
      <c r="L96" s="79">
        <v>80</v>
      </c>
      <c r="M96" s="79">
        <f t="shared" si="12"/>
        <v>10</v>
      </c>
      <c r="N96" s="79">
        <f t="shared" si="16"/>
        <v>74.023195876288653</v>
      </c>
      <c r="O96" s="78" t="str">
        <f t="shared" si="13"/>
        <v>T70</v>
      </c>
      <c r="P96" s="1" t="b">
        <f t="shared" si="14"/>
        <v>0</v>
      </c>
      <c r="R96" s="43" t="b">
        <v>0</v>
      </c>
      <c r="T96" s="79">
        <f t="shared" si="17"/>
        <v>10</v>
      </c>
      <c r="U96" s="1" t="b">
        <f t="shared" si="15"/>
        <v>0</v>
      </c>
      <c r="V96" s="46"/>
    </row>
    <row r="97" spans="1:22" x14ac:dyDescent="0.45">
      <c r="A97" s="42"/>
      <c r="B97" s="77" t="s">
        <v>140</v>
      </c>
      <c r="C97" s="77" t="s">
        <v>152</v>
      </c>
      <c r="D97" s="78">
        <v>1995</v>
      </c>
      <c r="E97" s="78">
        <v>1995</v>
      </c>
      <c r="F97" s="78">
        <v>2950</v>
      </c>
      <c r="G97" s="78">
        <v>240</v>
      </c>
      <c r="H97" s="78">
        <v>225</v>
      </c>
      <c r="I97" s="79">
        <f t="shared" si="9"/>
        <v>235</v>
      </c>
      <c r="J97" s="79">
        <f t="shared" si="10"/>
        <v>12.553191489361701</v>
      </c>
      <c r="K97" s="79">
        <f t="shared" si="11"/>
        <v>58.648936170212771</v>
      </c>
      <c r="L97" s="79">
        <v>81</v>
      </c>
      <c r="M97" s="79">
        <f t="shared" si="12"/>
        <v>10.5</v>
      </c>
      <c r="N97" s="79">
        <f t="shared" si="16"/>
        <v>69.148936170212778</v>
      </c>
      <c r="O97" s="78" t="str">
        <f t="shared" si="13"/>
        <v>T60</v>
      </c>
      <c r="P97" s="1" t="b">
        <f t="shared" si="14"/>
        <v>0</v>
      </c>
      <c r="R97" s="43" t="b">
        <v>0</v>
      </c>
      <c r="T97" s="79">
        <f t="shared" si="17"/>
        <v>10.5</v>
      </c>
      <c r="U97" s="1" t="b">
        <f t="shared" si="15"/>
        <v>0</v>
      </c>
      <c r="V97" s="46"/>
    </row>
    <row r="98" spans="1:22" x14ac:dyDescent="0.45">
      <c r="A98" s="42"/>
      <c r="B98" s="77" t="s">
        <v>140</v>
      </c>
      <c r="C98" s="77" t="s">
        <v>375</v>
      </c>
      <c r="D98" s="78">
        <v>1985</v>
      </c>
      <c r="E98" s="78">
        <v>1988</v>
      </c>
      <c r="F98" s="78">
        <v>3417</v>
      </c>
      <c r="G98" s="78">
        <v>256</v>
      </c>
      <c r="H98" s="78">
        <v>243</v>
      </c>
      <c r="I98" s="79">
        <f t="shared" si="9"/>
        <v>251.66666666666666</v>
      </c>
      <c r="J98" s="79">
        <f t="shared" si="10"/>
        <v>13.57748344370861</v>
      </c>
      <c r="K98" s="79">
        <f t="shared" si="11"/>
        <v>54.295695364238405</v>
      </c>
      <c r="L98" s="79">
        <v>55</v>
      </c>
      <c r="M98" s="79">
        <f t="shared" si="12"/>
        <v>-2.5</v>
      </c>
      <c r="N98" s="79">
        <f t="shared" si="16"/>
        <v>51.795695364238405</v>
      </c>
      <c r="O98" s="78" t="str">
        <f t="shared" si="13"/>
        <v>T50</v>
      </c>
      <c r="P98" s="1" t="b">
        <f t="shared" si="14"/>
        <v>0</v>
      </c>
      <c r="R98" s="43" t="b">
        <v>0</v>
      </c>
      <c r="T98" s="79">
        <f t="shared" si="17"/>
        <v>-2.5</v>
      </c>
      <c r="U98" s="1" t="b">
        <f t="shared" si="15"/>
        <v>0</v>
      </c>
      <c r="V98" s="46"/>
    </row>
    <row r="99" spans="1:22" x14ac:dyDescent="0.45">
      <c r="A99" s="42"/>
      <c r="B99" s="77" t="s">
        <v>140</v>
      </c>
      <c r="C99" s="77" t="s">
        <v>375</v>
      </c>
      <c r="D99" s="78">
        <v>1989</v>
      </c>
      <c r="E99" s="78">
        <v>1995</v>
      </c>
      <c r="F99" s="78">
        <v>3858</v>
      </c>
      <c r="G99" s="78">
        <v>311</v>
      </c>
      <c r="H99" s="78">
        <v>266</v>
      </c>
      <c r="I99" s="79">
        <f t="shared" si="9"/>
        <v>296</v>
      </c>
      <c r="J99" s="79">
        <f t="shared" si="10"/>
        <v>13.033783783783784</v>
      </c>
      <c r="K99" s="79">
        <f t="shared" si="11"/>
        <v>56.606418918918919</v>
      </c>
      <c r="L99" s="79">
        <v>60</v>
      </c>
      <c r="M99" s="79">
        <f t="shared" si="12"/>
        <v>0</v>
      </c>
      <c r="N99" s="79">
        <f t="shared" si="16"/>
        <v>56.606418918918919</v>
      </c>
      <c r="O99" s="78" t="str">
        <f t="shared" si="13"/>
        <v>T50</v>
      </c>
      <c r="P99" s="1" t="b">
        <f t="shared" si="14"/>
        <v>0</v>
      </c>
      <c r="R99" s="43" t="b">
        <v>0</v>
      </c>
      <c r="T99" s="79">
        <f t="shared" si="17"/>
        <v>0</v>
      </c>
      <c r="U99" s="1" t="b">
        <f t="shared" si="15"/>
        <v>0</v>
      </c>
      <c r="V99" s="46"/>
    </row>
    <row r="100" spans="1:22" x14ac:dyDescent="0.45">
      <c r="A100" s="42"/>
      <c r="B100" s="77" t="s">
        <v>140</v>
      </c>
      <c r="C100" s="77" t="s">
        <v>375</v>
      </c>
      <c r="D100" s="78">
        <v>1998</v>
      </c>
      <c r="E100" s="78">
        <v>2003</v>
      </c>
      <c r="F100" s="78">
        <v>4026</v>
      </c>
      <c r="G100" s="78">
        <v>394</v>
      </c>
      <c r="H100" s="78">
        <v>368</v>
      </c>
      <c r="I100" s="79">
        <f t="shared" si="9"/>
        <v>385.33333333333326</v>
      </c>
      <c r="J100" s="79">
        <f t="shared" si="10"/>
        <v>10.44809688581315</v>
      </c>
      <c r="K100" s="79">
        <f t="shared" si="11"/>
        <v>67.595588235294116</v>
      </c>
      <c r="L100" s="79">
        <v>65</v>
      </c>
      <c r="M100" s="79">
        <f t="shared" si="12"/>
        <v>2.5</v>
      </c>
      <c r="N100" s="79">
        <f t="shared" si="16"/>
        <v>70.095588235294116</v>
      </c>
      <c r="O100" s="78" t="str">
        <f t="shared" si="13"/>
        <v>T70</v>
      </c>
      <c r="P100" s="1" t="b">
        <f t="shared" si="14"/>
        <v>0</v>
      </c>
      <c r="R100" s="43" t="b">
        <v>0</v>
      </c>
      <c r="T100" s="79">
        <f t="shared" si="17"/>
        <v>2.5</v>
      </c>
      <c r="U100" s="1" t="b">
        <f t="shared" si="15"/>
        <v>0</v>
      </c>
      <c r="V100" s="46"/>
    </row>
    <row r="101" spans="1:22" x14ac:dyDescent="0.45">
      <c r="A101" s="42"/>
      <c r="B101" s="77" t="s">
        <v>140</v>
      </c>
      <c r="C101" s="77" t="s">
        <v>375</v>
      </c>
      <c r="D101" s="78">
        <v>2005</v>
      </c>
      <c r="E101" s="78">
        <v>2010</v>
      </c>
      <c r="F101" s="78">
        <v>4090</v>
      </c>
      <c r="G101" s="78">
        <v>500</v>
      </c>
      <c r="H101" s="78">
        <v>380</v>
      </c>
      <c r="I101" s="79">
        <f t="shared" si="9"/>
        <v>460</v>
      </c>
      <c r="J101" s="79">
        <f t="shared" si="10"/>
        <v>8.8913043478260878</v>
      </c>
      <c r="K101" s="79">
        <f t="shared" si="11"/>
        <v>74.211956521739125</v>
      </c>
      <c r="L101" s="79">
        <v>70</v>
      </c>
      <c r="M101" s="79">
        <f t="shared" si="12"/>
        <v>5</v>
      </c>
      <c r="N101" s="79">
        <f t="shared" si="16"/>
        <v>79.211956521739125</v>
      </c>
      <c r="O101" s="78" t="str">
        <f t="shared" si="13"/>
        <v>T70</v>
      </c>
      <c r="P101" s="1" t="b">
        <f t="shared" si="14"/>
        <v>0</v>
      </c>
      <c r="R101" s="43" t="b">
        <v>0</v>
      </c>
      <c r="T101" s="79">
        <f t="shared" si="17"/>
        <v>5</v>
      </c>
      <c r="U101" s="1" t="b">
        <f t="shared" si="15"/>
        <v>0</v>
      </c>
      <c r="V101" s="46"/>
    </row>
    <row r="102" spans="1:22" x14ac:dyDescent="0.45">
      <c r="A102" s="42"/>
      <c r="B102" s="77" t="s">
        <v>140</v>
      </c>
      <c r="C102" s="77" t="s">
        <v>375</v>
      </c>
      <c r="D102" s="78">
        <v>2011</v>
      </c>
      <c r="E102" s="78"/>
      <c r="F102" s="78">
        <v>4288</v>
      </c>
      <c r="G102" s="78">
        <v>560</v>
      </c>
      <c r="H102" s="78">
        <v>402</v>
      </c>
      <c r="I102" s="79">
        <f t="shared" si="9"/>
        <v>507.33333333333331</v>
      </c>
      <c r="J102" s="79">
        <f t="shared" si="10"/>
        <v>8.4520367936925105</v>
      </c>
      <c r="K102" s="79">
        <f t="shared" si="11"/>
        <v>76.07884362680683</v>
      </c>
      <c r="L102" s="79">
        <v>70</v>
      </c>
      <c r="M102" s="79">
        <f t="shared" si="12"/>
        <v>5</v>
      </c>
      <c r="N102" s="79">
        <f t="shared" si="16"/>
        <v>81.07884362680683</v>
      </c>
      <c r="O102" s="78" t="str">
        <f t="shared" si="13"/>
        <v>T80</v>
      </c>
      <c r="P102" s="1" t="b">
        <f t="shared" si="14"/>
        <v>0</v>
      </c>
      <c r="R102" s="43" t="b">
        <v>0</v>
      </c>
      <c r="T102" s="79">
        <f t="shared" si="17"/>
        <v>5</v>
      </c>
      <c r="U102" s="1" t="b">
        <f t="shared" si="15"/>
        <v>0</v>
      </c>
      <c r="V102" s="46"/>
    </row>
    <row r="103" spans="1:22" x14ac:dyDescent="0.45">
      <c r="A103" s="42"/>
      <c r="B103" s="77" t="s">
        <v>140</v>
      </c>
      <c r="C103" s="77" t="s">
        <v>376</v>
      </c>
      <c r="D103" s="78">
        <v>1983</v>
      </c>
      <c r="E103" s="78">
        <v>1989</v>
      </c>
      <c r="F103" s="78">
        <v>3565</v>
      </c>
      <c r="G103" s="78">
        <v>256</v>
      </c>
      <c r="H103" s="78">
        <v>243</v>
      </c>
      <c r="I103" s="79">
        <f t="shared" si="9"/>
        <v>251.66666666666666</v>
      </c>
      <c r="J103" s="79">
        <f t="shared" si="10"/>
        <v>14.165562913907285</v>
      </c>
      <c r="K103" s="79">
        <f t="shared" si="11"/>
        <v>51.796357615894038</v>
      </c>
      <c r="L103" s="79">
        <v>60</v>
      </c>
      <c r="M103" s="79">
        <f t="shared" si="12"/>
        <v>0</v>
      </c>
      <c r="N103" s="79">
        <f t="shared" si="16"/>
        <v>51.796357615894038</v>
      </c>
      <c r="O103" s="78" t="str">
        <f t="shared" si="13"/>
        <v>T50</v>
      </c>
      <c r="P103" s="1" t="b">
        <f t="shared" si="14"/>
        <v>0</v>
      </c>
      <c r="R103" s="43" t="b">
        <v>0</v>
      </c>
      <c r="T103" s="79">
        <f t="shared" si="17"/>
        <v>0</v>
      </c>
      <c r="U103" s="1" t="b">
        <f t="shared" si="15"/>
        <v>0</v>
      </c>
      <c r="V103" s="46"/>
    </row>
    <row r="104" spans="1:22" x14ac:dyDescent="0.45">
      <c r="A104" s="42"/>
      <c r="B104" s="77" t="s">
        <v>140</v>
      </c>
      <c r="C104" s="77" t="s">
        <v>376</v>
      </c>
      <c r="D104" s="78">
        <v>2005</v>
      </c>
      <c r="E104" s="78">
        <v>2010</v>
      </c>
      <c r="F104" s="78">
        <v>3770</v>
      </c>
      <c r="G104" s="78">
        <v>500</v>
      </c>
      <c r="H104" s="78">
        <v>380</v>
      </c>
      <c r="I104" s="79">
        <f t="shared" si="9"/>
        <v>460</v>
      </c>
      <c r="J104" s="79">
        <f t="shared" si="10"/>
        <v>8.195652173913043</v>
      </c>
      <c r="K104" s="79">
        <f t="shared" si="11"/>
        <v>77.168478260869563</v>
      </c>
      <c r="L104" s="79">
        <v>70</v>
      </c>
      <c r="M104" s="79">
        <f t="shared" si="12"/>
        <v>5</v>
      </c>
      <c r="N104" s="79">
        <f t="shared" si="16"/>
        <v>82.168478260869563</v>
      </c>
      <c r="O104" s="78" t="str">
        <f t="shared" si="13"/>
        <v>T80</v>
      </c>
      <c r="P104" s="1" t="b">
        <f t="shared" si="14"/>
        <v>0</v>
      </c>
      <c r="R104" s="43" t="b">
        <v>0</v>
      </c>
      <c r="T104" s="79">
        <f t="shared" si="17"/>
        <v>5</v>
      </c>
      <c r="U104" s="1" t="b">
        <f t="shared" si="15"/>
        <v>0</v>
      </c>
      <c r="V104" s="46"/>
    </row>
    <row r="105" spans="1:22" x14ac:dyDescent="0.45">
      <c r="A105" s="42"/>
      <c r="B105" s="77" t="s">
        <v>140</v>
      </c>
      <c r="C105" s="77" t="s">
        <v>376</v>
      </c>
      <c r="D105" s="78">
        <v>2012</v>
      </c>
      <c r="E105" s="78"/>
      <c r="F105" s="78">
        <v>4242</v>
      </c>
      <c r="G105" s="78">
        <v>560</v>
      </c>
      <c r="H105" s="78">
        <v>402</v>
      </c>
      <c r="I105" s="79">
        <f t="shared" si="9"/>
        <v>507.33333333333331</v>
      </c>
      <c r="J105" s="79">
        <f t="shared" si="10"/>
        <v>8.3613666228646526</v>
      </c>
      <c r="K105" s="79">
        <f t="shared" si="11"/>
        <v>76.464191852825223</v>
      </c>
      <c r="L105" s="79">
        <v>70</v>
      </c>
      <c r="M105" s="79">
        <f t="shared" si="12"/>
        <v>5</v>
      </c>
      <c r="N105" s="79">
        <f t="shared" si="16"/>
        <v>81.464191852825223</v>
      </c>
      <c r="O105" s="78" t="str">
        <f t="shared" si="13"/>
        <v>T80</v>
      </c>
      <c r="P105" s="1" t="b">
        <f t="shared" si="14"/>
        <v>0</v>
      </c>
      <c r="R105" s="43" t="b">
        <v>0</v>
      </c>
      <c r="T105" s="79">
        <f t="shared" si="17"/>
        <v>5</v>
      </c>
      <c r="U105" s="1" t="b">
        <f t="shared" si="15"/>
        <v>0</v>
      </c>
      <c r="V105" s="46"/>
    </row>
    <row r="106" spans="1:22" x14ac:dyDescent="0.45">
      <c r="A106" s="42"/>
      <c r="B106" s="77" t="s">
        <v>140</v>
      </c>
      <c r="C106" s="77" t="s">
        <v>529</v>
      </c>
      <c r="D106" s="78">
        <v>1996</v>
      </c>
      <c r="E106" s="78">
        <v>1996</v>
      </c>
      <c r="F106" s="78">
        <v>2690</v>
      </c>
      <c r="G106" s="78">
        <v>138</v>
      </c>
      <c r="H106" s="78">
        <v>133</v>
      </c>
      <c r="I106" s="79">
        <f t="shared" si="9"/>
        <v>136.33333333333331</v>
      </c>
      <c r="J106" s="79">
        <f t="shared" si="10"/>
        <v>19.731051344743278</v>
      </c>
      <c r="K106" s="79">
        <f t="shared" si="11"/>
        <v>28.143031784841071</v>
      </c>
      <c r="L106" s="79">
        <v>60</v>
      </c>
      <c r="M106" s="79">
        <f t="shared" si="12"/>
        <v>0</v>
      </c>
      <c r="N106" s="79">
        <f t="shared" si="16"/>
        <v>28.143031784841071</v>
      </c>
      <c r="O106" s="78" t="str">
        <f t="shared" si="13"/>
        <v>T30</v>
      </c>
      <c r="P106" s="1" t="b">
        <f t="shared" si="14"/>
        <v>0</v>
      </c>
      <c r="R106" s="43" t="b">
        <v>0</v>
      </c>
      <c r="T106" s="79">
        <f t="shared" si="17"/>
        <v>0</v>
      </c>
      <c r="U106" s="1" t="b">
        <f t="shared" si="15"/>
        <v>0</v>
      </c>
      <c r="V106" s="46"/>
    </row>
    <row r="107" spans="1:22" x14ac:dyDescent="0.45">
      <c r="A107" s="42"/>
      <c r="B107" s="77" t="s">
        <v>140</v>
      </c>
      <c r="C107" s="77" t="s">
        <v>524</v>
      </c>
      <c r="D107" s="78">
        <v>2000</v>
      </c>
      <c r="E107" s="78">
        <v>2000</v>
      </c>
      <c r="F107" s="78">
        <v>2899</v>
      </c>
      <c r="G107" s="78">
        <v>170</v>
      </c>
      <c r="H107" s="78">
        <v>181</v>
      </c>
      <c r="I107" s="79">
        <f t="shared" si="9"/>
        <v>173.66666666666666</v>
      </c>
      <c r="J107" s="79">
        <f t="shared" si="10"/>
        <v>16.692898272552785</v>
      </c>
      <c r="K107" s="79">
        <f t="shared" si="11"/>
        <v>41.055182341650664</v>
      </c>
      <c r="L107" s="79">
        <v>60</v>
      </c>
      <c r="M107" s="79">
        <f t="shared" si="12"/>
        <v>0</v>
      </c>
      <c r="N107" s="79">
        <f t="shared" si="16"/>
        <v>41.055182341650664</v>
      </c>
      <c r="O107" s="78" t="str">
        <f t="shared" si="13"/>
        <v>T40</v>
      </c>
      <c r="P107" s="1" t="b">
        <f t="shared" si="14"/>
        <v>0</v>
      </c>
      <c r="R107" s="43" t="b">
        <v>0</v>
      </c>
      <c r="T107" s="79">
        <f t="shared" si="17"/>
        <v>0</v>
      </c>
      <c r="U107" s="1" t="b">
        <f t="shared" si="15"/>
        <v>0</v>
      </c>
      <c r="V107" s="46"/>
    </row>
    <row r="108" spans="1:22" x14ac:dyDescent="0.45">
      <c r="A108" s="42"/>
      <c r="B108" s="77" t="s">
        <v>140</v>
      </c>
      <c r="C108" s="77" t="s">
        <v>153</v>
      </c>
      <c r="D108" s="78">
        <v>2000</v>
      </c>
      <c r="E108" s="78">
        <v>2000</v>
      </c>
      <c r="F108" s="78">
        <v>2910</v>
      </c>
      <c r="G108" s="78">
        <v>193</v>
      </c>
      <c r="H108" s="78">
        <v>206</v>
      </c>
      <c r="I108" s="79">
        <f t="shared" si="9"/>
        <v>197.33333333333331</v>
      </c>
      <c r="J108" s="79">
        <f t="shared" si="10"/>
        <v>14.746621621621623</v>
      </c>
      <c r="K108" s="79">
        <f t="shared" si="11"/>
        <v>49.326858108108105</v>
      </c>
      <c r="L108" s="79">
        <v>60</v>
      </c>
      <c r="M108" s="79">
        <f t="shared" si="12"/>
        <v>0</v>
      </c>
      <c r="N108" s="79">
        <f t="shared" si="16"/>
        <v>49.326858108108105</v>
      </c>
      <c r="O108" s="78" t="str">
        <f t="shared" si="13"/>
        <v>T40</v>
      </c>
      <c r="P108" s="1" t="b">
        <f t="shared" si="14"/>
        <v>0</v>
      </c>
      <c r="R108" s="43" t="b">
        <v>0</v>
      </c>
      <c r="T108" s="79">
        <f t="shared" si="17"/>
        <v>0</v>
      </c>
      <c r="U108" s="1" t="b">
        <f t="shared" si="15"/>
        <v>0</v>
      </c>
      <c r="V108" s="46"/>
    </row>
    <row r="109" spans="1:22" x14ac:dyDescent="0.45">
      <c r="A109" s="42"/>
      <c r="B109" s="77" t="s">
        <v>140</v>
      </c>
      <c r="C109" s="77" t="s">
        <v>551</v>
      </c>
      <c r="D109" s="78">
        <v>2006</v>
      </c>
      <c r="E109" s="78">
        <v>2008</v>
      </c>
      <c r="F109" s="78">
        <v>3086</v>
      </c>
      <c r="G109" s="78">
        <v>255</v>
      </c>
      <c r="H109" s="78">
        <v>220</v>
      </c>
      <c r="I109" s="79">
        <f t="shared" si="9"/>
        <v>243.33333333333331</v>
      </c>
      <c r="J109" s="79">
        <f t="shared" si="10"/>
        <v>12.682191780821919</v>
      </c>
      <c r="K109" s="79">
        <f t="shared" si="11"/>
        <v>58.100684931506848</v>
      </c>
      <c r="L109" s="79">
        <v>70</v>
      </c>
      <c r="M109" s="79">
        <f t="shared" si="12"/>
        <v>5</v>
      </c>
      <c r="N109" s="79">
        <f t="shared" si="16"/>
        <v>63.100684931506848</v>
      </c>
      <c r="O109" s="78" t="str">
        <f t="shared" si="13"/>
        <v>T60</v>
      </c>
      <c r="P109" s="1" t="b">
        <f t="shared" si="14"/>
        <v>0</v>
      </c>
      <c r="R109" s="43" t="b">
        <v>0</v>
      </c>
      <c r="T109" s="79">
        <f t="shared" si="17"/>
        <v>5</v>
      </c>
      <c r="U109" s="1" t="b">
        <f t="shared" si="15"/>
        <v>0</v>
      </c>
      <c r="V109" s="46"/>
    </row>
    <row r="110" spans="1:22" x14ac:dyDescent="0.45">
      <c r="A110" s="42"/>
      <c r="B110" s="77" t="s">
        <v>140</v>
      </c>
      <c r="C110" s="77" t="s">
        <v>154</v>
      </c>
      <c r="D110" s="78">
        <v>2006</v>
      </c>
      <c r="E110" s="78">
        <v>2008</v>
      </c>
      <c r="F110" s="78">
        <v>3197</v>
      </c>
      <c r="G110" s="78">
        <v>330</v>
      </c>
      <c r="H110" s="78">
        <v>262</v>
      </c>
      <c r="I110" s="79">
        <f t="shared" si="9"/>
        <v>307.33333333333331</v>
      </c>
      <c r="J110" s="79">
        <f t="shared" si="10"/>
        <v>10.402386117136659</v>
      </c>
      <c r="K110" s="79">
        <f t="shared" si="11"/>
        <v>67.789859002169194</v>
      </c>
      <c r="L110" s="79">
        <v>75</v>
      </c>
      <c r="M110" s="79">
        <f t="shared" si="12"/>
        <v>7.5</v>
      </c>
      <c r="N110" s="79">
        <f t="shared" si="16"/>
        <v>75.289859002169194</v>
      </c>
      <c r="O110" s="78" t="str">
        <f t="shared" si="13"/>
        <v>T70</v>
      </c>
      <c r="P110" s="1" t="b">
        <f t="shared" si="14"/>
        <v>0</v>
      </c>
      <c r="R110" s="43" t="b">
        <v>0</v>
      </c>
      <c r="T110" s="79">
        <f t="shared" si="17"/>
        <v>7.5</v>
      </c>
      <c r="U110" s="1" t="b">
        <f t="shared" si="15"/>
        <v>0</v>
      </c>
      <c r="V110" s="46"/>
    </row>
    <row r="111" spans="1:22" x14ac:dyDescent="0.45">
      <c r="A111" s="42"/>
      <c r="B111" s="77" t="s">
        <v>140</v>
      </c>
      <c r="C111" s="77" t="s">
        <v>751</v>
      </c>
      <c r="D111" s="78">
        <v>2020</v>
      </c>
      <c r="E111" s="78"/>
      <c r="F111" s="78">
        <v>3287</v>
      </c>
      <c r="G111" s="78">
        <v>255</v>
      </c>
      <c r="H111" s="78">
        <v>295</v>
      </c>
      <c r="I111" s="79">
        <f t="shared" si="9"/>
        <v>268.33333333333331</v>
      </c>
      <c r="J111" s="79">
        <f t="shared" si="10"/>
        <v>12.249689440993789</v>
      </c>
      <c r="K111" s="79">
        <f t="shared" si="11"/>
        <v>59.938819875776396</v>
      </c>
      <c r="L111" s="79">
        <v>85</v>
      </c>
      <c r="M111" s="79">
        <f t="shared" si="12"/>
        <v>12.5</v>
      </c>
      <c r="N111" s="79">
        <f t="shared" si="16"/>
        <v>72.438819875776403</v>
      </c>
      <c r="O111" s="78" t="str">
        <f t="shared" si="13"/>
        <v>T70</v>
      </c>
      <c r="P111" s="1" t="b">
        <f t="shared" si="14"/>
        <v>0</v>
      </c>
      <c r="R111" s="43" t="b">
        <v>0</v>
      </c>
      <c r="T111" s="79">
        <f t="shared" si="17"/>
        <v>12.5</v>
      </c>
      <c r="U111" s="1" t="b">
        <f t="shared" si="15"/>
        <v>0</v>
      </c>
      <c r="V111" s="46"/>
    </row>
    <row r="112" spans="1:22" x14ac:dyDescent="0.45">
      <c r="A112" s="42"/>
      <c r="B112" s="77" t="s">
        <v>140</v>
      </c>
      <c r="C112" s="77" t="s">
        <v>752</v>
      </c>
      <c r="D112" s="78">
        <v>2021</v>
      </c>
      <c r="E112" s="78"/>
      <c r="F112" s="78">
        <v>3457</v>
      </c>
      <c r="G112" s="78">
        <v>382</v>
      </c>
      <c r="H112" s="78">
        <v>369</v>
      </c>
      <c r="I112" s="79">
        <f t="shared" si="9"/>
        <v>377.66666666666663</v>
      </c>
      <c r="J112" s="79">
        <f t="shared" si="10"/>
        <v>9.153574580759047</v>
      </c>
      <c r="K112" s="79">
        <f t="shared" si="11"/>
        <v>73.097308031774048</v>
      </c>
      <c r="L112" s="79">
        <v>85</v>
      </c>
      <c r="M112" s="79">
        <f t="shared" si="12"/>
        <v>12.5</v>
      </c>
      <c r="N112" s="79">
        <f t="shared" si="16"/>
        <v>85.597308031774048</v>
      </c>
      <c r="O112" s="78" t="str">
        <f t="shared" si="13"/>
        <v>T80</v>
      </c>
      <c r="P112" s="1" t="b">
        <f t="shared" si="14"/>
        <v>0</v>
      </c>
      <c r="R112" s="43" t="b">
        <v>0</v>
      </c>
      <c r="T112" s="79">
        <f t="shared" si="17"/>
        <v>12.5</v>
      </c>
      <c r="U112" s="1" t="b">
        <f t="shared" si="15"/>
        <v>0</v>
      </c>
      <c r="V112" s="46"/>
    </row>
    <row r="113" spans="1:22" x14ac:dyDescent="0.45">
      <c r="A113" s="42"/>
      <c r="B113" s="77" t="s">
        <v>140</v>
      </c>
      <c r="C113" s="77" t="s">
        <v>377</v>
      </c>
      <c r="D113" s="78">
        <v>1999</v>
      </c>
      <c r="E113" s="78">
        <v>2003</v>
      </c>
      <c r="F113" s="78">
        <v>3494</v>
      </c>
      <c r="G113" s="78">
        <v>400</v>
      </c>
      <c r="H113" s="78">
        <v>370</v>
      </c>
      <c r="I113" s="79">
        <f t="shared" si="9"/>
        <v>389.99999999999994</v>
      </c>
      <c r="J113" s="79">
        <f t="shared" si="10"/>
        <v>8.9589743589743609</v>
      </c>
      <c r="K113" s="79">
        <f t="shared" si="11"/>
        <v>73.924358974358967</v>
      </c>
      <c r="L113" s="79">
        <v>75</v>
      </c>
      <c r="M113" s="79">
        <f t="shared" si="12"/>
        <v>7.5</v>
      </c>
      <c r="N113" s="79">
        <f t="shared" si="16"/>
        <v>81.424358974358967</v>
      </c>
      <c r="O113" s="78" t="str">
        <f t="shared" si="13"/>
        <v>T80</v>
      </c>
      <c r="P113" s="1" t="b">
        <f t="shared" si="14"/>
        <v>0</v>
      </c>
      <c r="R113" s="43" t="b">
        <v>0</v>
      </c>
      <c r="T113" s="79">
        <f t="shared" si="17"/>
        <v>7.5</v>
      </c>
      <c r="U113" s="1" t="b">
        <f t="shared" si="15"/>
        <v>0</v>
      </c>
      <c r="V113" s="46"/>
    </row>
    <row r="114" spans="1:22" x14ac:dyDescent="0.45">
      <c r="A114" s="42"/>
      <c r="B114" s="77" t="s">
        <v>378</v>
      </c>
      <c r="C114" s="77" t="s">
        <v>379</v>
      </c>
      <c r="D114" s="78">
        <v>2005</v>
      </c>
      <c r="E114" s="78">
        <v>2011</v>
      </c>
      <c r="F114" s="78">
        <v>4162</v>
      </c>
      <c r="G114" s="78">
        <v>987</v>
      </c>
      <c r="H114" s="78">
        <v>922</v>
      </c>
      <c r="I114" s="79">
        <f t="shared" si="9"/>
        <v>965.33333333333326</v>
      </c>
      <c r="J114" s="79">
        <f t="shared" si="10"/>
        <v>4.3114640883977904</v>
      </c>
      <c r="K114" s="79">
        <f t="shared" si="11"/>
        <v>93.676277624309392</v>
      </c>
      <c r="L114" s="79">
        <v>95</v>
      </c>
      <c r="M114" s="79">
        <f t="shared" si="12"/>
        <v>17.5</v>
      </c>
      <c r="N114" s="79">
        <f t="shared" si="16"/>
        <v>111.17627762430939</v>
      </c>
      <c r="O114" s="78" t="str">
        <f t="shared" si="13"/>
        <v>T110</v>
      </c>
      <c r="P114" s="1" t="b">
        <f t="shared" si="14"/>
        <v>0</v>
      </c>
      <c r="R114" s="43" t="b">
        <v>0</v>
      </c>
      <c r="T114" s="79">
        <f t="shared" si="17"/>
        <v>17.5</v>
      </c>
      <c r="U114" s="1" t="b">
        <f t="shared" si="15"/>
        <v>0</v>
      </c>
      <c r="V114" s="46"/>
    </row>
    <row r="115" spans="1:22" x14ac:dyDescent="0.45">
      <c r="A115" s="42"/>
      <c r="B115" s="90" t="s">
        <v>155</v>
      </c>
      <c r="C115" s="90" t="s">
        <v>561</v>
      </c>
      <c r="D115" s="86">
        <v>2016</v>
      </c>
      <c r="E115" s="86">
        <v>2017</v>
      </c>
      <c r="F115" s="86">
        <v>3760</v>
      </c>
      <c r="G115" s="86">
        <v>464</v>
      </c>
      <c r="H115" s="86">
        <v>445</v>
      </c>
      <c r="I115" s="85">
        <f t="shared" si="9"/>
        <v>457.66666666666663</v>
      </c>
      <c r="J115" s="85">
        <f t="shared" si="10"/>
        <v>8.2155863073561548</v>
      </c>
      <c r="K115" s="79">
        <f t="shared" si="11"/>
        <v>77.083758193736344</v>
      </c>
      <c r="L115" s="85">
        <v>90</v>
      </c>
      <c r="M115" s="79">
        <f t="shared" si="12"/>
        <v>15</v>
      </c>
      <c r="N115" s="85">
        <f t="shared" si="16"/>
        <v>92.083758193736344</v>
      </c>
      <c r="O115" s="78" t="str">
        <f t="shared" si="13"/>
        <v>T90</v>
      </c>
      <c r="P115" s="1" t="b">
        <f t="shared" si="14"/>
        <v>0</v>
      </c>
      <c r="R115" s="43" t="b">
        <v>0</v>
      </c>
      <c r="T115" s="79">
        <f t="shared" si="17"/>
        <v>15</v>
      </c>
      <c r="U115" s="1" t="b">
        <f t="shared" si="15"/>
        <v>0</v>
      </c>
      <c r="V115" s="46"/>
    </row>
    <row r="116" spans="1:22" x14ac:dyDescent="0.45">
      <c r="A116" s="42"/>
      <c r="B116" s="89" t="s">
        <v>155</v>
      </c>
      <c r="C116" s="89" t="s">
        <v>761</v>
      </c>
      <c r="D116" s="84">
        <v>2016</v>
      </c>
      <c r="E116" s="84">
        <v>2019</v>
      </c>
      <c r="F116" s="86">
        <v>3803</v>
      </c>
      <c r="G116" s="86">
        <v>335</v>
      </c>
      <c r="H116" s="86">
        <v>285</v>
      </c>
      <c r="I116" s="85">
        <f t="shared" si="9"/>
        <v>318.33333333333331</v>
      </c>
      <c r="J116" s="85">
        <f t="shared" si="10"/>
        <v>11.946596858638744</v>
      </c>
      <c r="K116" s="79">
        <f t="shared" si="11"/>
        <v>61.22696335078534</v>
      </c>
      <c r="L116" s="85">
        <v>90</v>
      </c>
      <c r="M116" s="79">
        <f t="shared" si="12"/>
        <v>15</v>
      </c>
      <c r="N116" s="85">
        <f t="shared" si="16"/>
        <v>76.22696335078534</v>
      </c>
      <c r="O116" s="78" t="str">
        <f t="shared" si="13"/>
        <v>T70</v>
      </c>
      <c r="P116" s="1" t="b">
        <f t="shared" si="14"/>
        <v>0</v>
      </c>
      <c r="R116" s="43" t="b">
        <v>0</v>
      </c>
      <c r="T116" s="79">
        <f t="shared" si="17"/>
        <v>15</v>
      </c>
      <c r="U116" s="1" t="b">
        <f t="shared" si="15"/>
        <v>0</v>
      </c>
      <c r="V116" s="46"/>
    </row>
    <row r="117" spans="1:22" x14ac:dyDescent="0.45">
      <c r="A117" s="42"/>
      <c r="B117" s="77" t="s">
        <v>155</v>
      </c>
      <c r="C117" s="77" t="s">
        <v>156</v>
      </c>
      <c r="D117" s="78">
        <v>2004</v>
      </c>
      <c r="E117" s="78">
        <v>2007</v>
      </c>
      <c r="F117" s="78">
        <v>3850</v>
      </c>
      <c r="G117" s="78">
        <v>400</v>
      </c>
      <c r="H117" s="78">
        <v>395</v>
      </c>
      <c r="I117" s="79">
        <f t="shared" si="9"/>
        <v>398.33333333333326</v>
      </c>
      <c r="J117" s="79">
        <f t="shared" si="10"/>
        <v>9.6652719665271984</v>
      </c>
      <c r="K117" s="79">
        <f t="shared" si="11"/>
        <v>70.922594142259413</v>
      </c>
      <c r="L117" s="79">
        <v>55</v>
      </c>
      <c r="M117" s="79">
        <f t="shared" si="12"/>
        <v>-2.5</v>
      </c>
      <c r="N117" s="79">
        <f t="shared" si="16"/>
        <v>68.422594142259413</v>
      </c>
      <c r="O117" s="78" t="str">
        <f t="shared" si="13"/>
        <v>T60</v>
      </c>
      <c r="P117" s="1" t="b">
        <f t="shared" si="14"/>
        <v>0</v>
      </c>
      <c r="R117" s="43" t="b">
        <v>0</v>
      </c>
      <c r="T117" s="79">
        <f t="shared" si="17"/>
        <v>-2.5</v>
      </c>
      <c r="U117" s="1" t="b">
        <f t="shared" si="15"/>
        <v>0</v>
      </c>
      <c r="V117" s="46"/>
    </row>
    <row r="118" spans="1:22" x14ac:dyDescent="0.45">
      <c r="A118" s="42"/>
      <c r="B118" s="77" t="s">
        <v>155</v>
      </c>
      <c r="C118" s="77" t="s">
        <v>156</v>
      </c>
      <c r="D118" s="78">
        <v>2009</v>
      </c>
      <c r="E118" s="78"/>
      <c r="F118" s="78">
        <v>4250</v>
      </c>
      <c r="G118" s="78">
        <v>556</v>
      </c>
      <c r="H118" s="78">
        <v>551</v>
      </c>
      <c r="I118" s="79">
        <f t="shared" si="9"/>
        <v>554.33333333333326</v>
      </c>
      <c r="J118" s="79">
        <f t="shared" si="10"/>
        <v>7.6668671076368016</v>
      </c>
      <c r="K118" s="79">
        <f t="shared" si="11"/>
        <v>79.415814792543586</v>
      </c>
      <c r="L118" s="79">
        <v>60</v>
      </c>
      <c r="M118" s="79">
        <f t="shared" si="12"/>
        <v>0</v>
      </c>
      <c r="N118" s="79">
        <f t="shared" si="16"/>
        <v>79.415814792543586</v>
      </c>
      <c r="O118" s="78" t="str">
        <f t="shared" si="13"/>
        <v>T70</v>
      </c>
      <c r="P118" s="1" t="b">
        <f t="shared" si="14"/>
        <v>0</v>
      </c>
      <c r="R118" s="43" t="b">
        <v>0</v>
      </c>
      <c r="T118" s="79">
        <f t="shared" si="17"/>
        <v>0</v>
      </c>
      <c r="U118" s="1" t="b">
        <f t="shared" si="15"/>
        <v>0</v>
      </c>
      <c r="V118" s="46"/>
    </row>
    <row r="119" spans="1:22" x14ac:dyDescent="0.45">
      <c r="A119" s="42"/>
      <c r="B119" s="77" t="s">
        <v>157</v>
      </c>
      <c r="C119" s="77" t="s">
        <v>273</v>
      </c>
      <c r="D119" s="78">
        <v>2010</v>
      </c>
      <c r="E119" s="78"/>
      <c r="F119" s="78">
        <v>3750</v>
      </c>
      <c r="G119" s="78">
        <v>312</v>
      </c>
      <c r="H119" s="78">
        <v>278</v>
      </c>
      <c r="I119" s="79">
        <f t="shared" si="9"/>
        <v>300.66666666666663</v>
      </c>
      <c r="J119" s="79">
        <f t="shared" si="10"/>
        <v>12.47228381374723</v>
      </c>
      <c r="K119" s="79">
        <f t="shared" si="11"/>
        <v>58.992793791574272</v>
      </c>
      <c r="L119" s="79">
        <v>65</v>
      </c>
      <c r="M119" s="79">
        <f t="shared" si="12"/>
        <v>2.5</v>
      </c>
      <c r="N119" s="79">
        <f t="shared" si="16"/>
        <v>61.492793791574272</v>
      </c>
      <c r="O119" s="78" t="str">
        <f t="shared" si="13"/>
        <v>T60</v>
      </c>
      <c r="P119" s="1" t="b">
        <f t="shared" si="14"/>
        <v>0</v>
      </c>
      <c r="R119" s="43" t="b">
        <v>0</v>
      </c>
      <c r="T119" s="79">
        <f t="shared" si="17"/>
        <v>2.5</v>
      </c>
      <c r="U119" s="1" t="b">
        <f t="shared" si="15"/>
        <v>0</v>
      </c>
      <c r="V119" s="46"/>
    </row>
    <row r="120" spans="1:22" x14ac:dyDescent="0.45">
      <c r="A120" s="42"/>
      <c r="B120" s="77" t="s">
        <v>157</v>
      </c>
      <c r="C120" s="77" t="s">
        <v>272</v>
      </c>
      <c r="D120" s="78">
        <v>1994</v>
      </c>
      <c r="E120" s="78">
        <v>1997</v>
      </c>
      <c r="F120" s="78">
        <v>3473</v>
      </c>
      <c r="G120" s="78">
        <v>200</v>
      </c>
      <c r="H120" s="78">
        <v>225</v>
      </c>
      <c r="I120" s="79">
        <f t="shared" si="9"/>
        <v>208.33333333333331</v>
      </c>
      <c r="J120" s="79">
        <f t="shared" si="10"/>
        <v>16.670400000000001</v>
      </c>
      <c r="K120" s="79">
        <f t="shared" si="11"/>
        <v>41.150800000000004</v>
      </c>
      <c r="L120" s="79">
        <v>60</v>
      </c>
      <c r="M120" s="79">
        <f t="shared" si="12"/>
        <v>0</v>
      </c>
      <c r="N120" s="79">
        <f t="shared" si="16"/>
        <v>41.150800000000004</v>
      </c>
      <c r="O120" s="78" t="str">
        <f t="shared" si="13"/>
        <v>T40</v>
      </c>
      <c r="P120" s="1" t="b">
        <f t="shared" si="14"/>
        <v>0</v>
      </c>
      <c r="R120" s="43" t="b">
        <v>0</v>
      </c>
      <c r="T120" s="79">
        <f t="shared" si="17"/>
        <v>0</v>
      </c>
      <c r="U120" s="1" t="b">
        <f t="shared" si="15"/>
        <v>0</v>
      </c>
    </row>
    <row r="121" spans="1:22" x14ac:dyDescent="0.45">
      <c r="A121" s="42"/>
      <c r="B121" s="77" t="s">
        <v>157</v>
      </c>
      <c r="C121" s="77" t="s">
        <v>272</v>
      </c>
      <c r="D121" s="78">
        <v>1998</v>
      </c>
      <c r="E121" s="78">
        <v>2001</v>
      </c>
      <c r="F121" s="78">
        <v>3349</v>
      </c>
      <c r="G121" s="78">
        <v>190</v>
      </c>
      <c r="H121" s="78">
        <v>225</v>
      </c>
      <c r="I121" s="79">
        <f t="shared" si="9"/>
        <v>201.66666666666666</v>
      </c>
      <c r="J121" s="79">
        <f t="shared" si="10"/>
        <v>16.606611570247935</v>
      </c>
      <c r="K121" s="79">
        <f t="shared" si="11"/>
        <v>41.421900826446276</v>
      </c>
      <c r="L121" s="79">
        <v>65</v>
      </c>
      <c r="M121" s="79">
        <f t="shared" si="12"/>
        <v>2.5</v>
      </c>
      <c r="N121" s="79">
        <f t="shared" si="16"/>
        <v>43.921900826446276</v>
      </c>
      <c r="O121" s="78" t="str">
        <f t="shared" si="13"/>
        <v>T40</v>
      </c>
      <c r="P121" s="1" t="b">
        <f t="shared" si="14"/>
        <v>0</v>
      </c>
      <c r="R121" s="43" t="b">
        <v>0</v>
      </c>
      <c r="T121" s="79">
        <f t="shared" si="17"/>
        <v>2.5</v>
      </c>
      <c r="U121" s="1" t="b">
        <f t="shared" si="15"/>
        <v>0</v>
      </c>
    </row>
    <row r="122" spans="1:22" x14ac:dyDescent="0.45">
      <c r="A122" s="42"/>
      <c r="B122" s="77" t="s">
        <v>157</v>
      </c>
      <c r="C122" s="77" t="s">
        <v>158</v>
      </c>
      <c r="D122" s="78">
        <v>2010</v>
      </c>
      <c r="E122" s="78"/>
      <c r="F122" s="78">
        <v>3860</v>
      </c>
      <c r="G122" s="78">
        <v>426</v>
      </c>
      <c r="H122" s="78">
        <v>420</v>
      </c>
      <c r="I122" s="79">
        <f t="shared" si="9"/>
        <v>424</v>
      </c>
      <c r="J122" s="79">
        <f t="shared" si="10"/>
        <v>9.1037735849056602</v>
      </c>
      <c r="K122" s="79">
        <f t="shared" si="11"/>
        <v>73.308962264150949</v>
      </c>
      <c r="L122" s="79">
        <v>65</v>
      </c>
      <c r="M122" s="79">
        <f t="shared" si="12"/>
        <v>2.5</v>
      </c>
      <c r="N122" s="79">
        <f t="shared" si="16"/>
        <v>75.808962264150949</v>
      </c>
      <c r="O122" s="78" t="str">
        <f t="shared" si="13"/>
        <v>T70</v>
      </c>
      <c r="P122" s="1" t="b">
        <f t="shared" si="14"/>
        <v>0</v>
      </c>
      <c r="R122" s="43" t="b">
        <v>0</v>
      </c>
      <c r="T122" s="79">
        <f t="shared" si="17"/>
        <v>2.5</v>
      </c>
      <c r="U122" s="1" t="b">
        <f t="shared" si="15"/>
        <v>0</v>
      </c>
    </row>
    <row r="123" spans="1:22" x14ac:dyDescent="0.45">
      <c r="A123" s="42"/>
      <c r="B123" s="89" t="s">
        <v>157</v>
      </c>
      <c r="C123" s="89" t="s">
        <v>158</v>
      </c>
      <c r="D123" s="84">
        <v>2018</v>
      </c>
      <c r="E123" s="84"/>
      <c r="F123" s="84">
        <v>3685</v>
      </c>
      <c r="G123" s="84">
        <v>455</v>
      </c>
      <c r="H123" s="84">
        <v>455</v>
      </c>
      <c r="I123" s="85">
        <f t="shared" si="9"/>
        <v>455</v>
      </c>
      <c r="J123" s="85">
        <f t="shared" si="10"/>
        <v>8.0989010989010985</v>
      </c>
      <c r="K123" s="79">
        <f t="shared" si="11"/>
        <v>77.579670329670336</v>
      </c>
      <c r="L123" s="85">
        <v>75</v>
      </c>
      <c r="M123" s="79">
        <f t="shared" si="12"/>
        <v>7.5</v>
      </c>
      <c r="N123" s="85">
        <f t="shared" si="16"/>
        <v>85.079670329670336</v>
      </c>
      <c r="O123" s="78" t="str">
        <f t="shared" si="13"/>
        <v>T80</v>
      </c>
      <c r="P123" s="1" t="b">
        <f t="shared" si="14"/>
        <v>0</v>
      </c>
      <c r="R123" s="43" t="b">
        <v>0</v>
      </c>
      <c r="T123" s="79">
        <f t="shared" si="17"/>
        <v>7.5</v>
      </c>
      <c r="U123" s="1" t="b">
        <f t="shared" si="15"/>
        <v>0</v>
      </c>
    </row>
    <row r="124" spans="1:22" x14ac:dyDescent="0.45">
      <c r="A124" s="42"/>
      <c r="B124" s="89" t="s">
        <v>157</v>
      </c>
      <c r="C124" s="89" t="s">
        <v>562</v>
      </c>
      <c r="D124" s="84">
        <v>2017</v>
      </c>
      <c r="E124" s="84"/>
      <c r="F124" s="84">
        <v>3743</v>
      </c>
      <c r="G124" s="84">
        <v>455</v>
      </c>
      <c r="H124" s="84">
        <v>455</v>
      </c>
      <c r="I124" s="85">
        <f t="shared" si="9"/>
        <v>455</v>
      </c>
      <c r="J124" s="85">
        <f t="shared" si="10"/>
        <v>8.2263736263736256</v>
      </c>
      <c r="K124" s="79">
        <f t="shared" si="11"/>
        <v>77.03791208791209</v>
      </c>
      <c r="L124" s="85">
        <v>85</v>
      </c>
      <c r="M124" s="79">
        <f t="shared" si="12"/>
        <v>12.5</v>
      </c>
      <c r="N124" s="85">
        <f t="shared" si="16"/>
        <v>89.53791208791209</v>
      </c>
      <c r="O124" s="78" t="str">
        <f t="shared" si="13"/>
        <v>T80</v>
      </c>
      <c r="P124" s="1" t="b">
        <f t="shared" si="14"/>
        <v>0</v>
      </c>
      <c r="R124" s="43" t="b">
        <v>0</v>
      </c>
      <c r="T124" s="79">
        <f t="shared" si="17"/>
        <v>12.5</v>
      </c>
      <c r="U124" s="1" t="b">
        <f t="shared" si="15"/>
        <v>0</v>
      </c>
    </row>
    <row r="125" spans="1:22" x14ac:dyDescent="0.45">
      <c r="A125" s="42"/>
      <c r="B125" s="77" t="s">
        <v>157</v>
      </c>
      <c r="C125" s="77" t="s">
        <v>501</v>
      </c>
      <c r="D125" s="78">
        <v>2010</v>
      </c>
      <c r="E125" s="78">
        <v>2013</v>
      </c>
      <c r="F125" s="78">
        <v>3913</v>
      </c>
      <c r="G125" s="78">
        <v>400</v>
      </c>
      <c r="H125" s="78">
        <v>410</v>
      </c>
      <c r="I125" s="79">
        <f t="shared" si="9"/>
        <v>403.33333333333326</v>
      </c>
      <c r="J125" s="79">
        <f t="shared" si="10"/>
        <v>9.7016528925619845</v>
      </c>
      <c r="K125" s="79">
        <f t="shared" si="11"/>
        <v>70.767975206611567</v>
      </c>
      <c r="L125" s="79">
        <v>65</v>
      </c>
      <c r="M125" s="79">
        <f t="shared" si="12"/>
        <v>2.5</v>
      </c>
      <c r="N125" s="79">
        <f t="shared" si="16"/>
        <v>73.267975206611567</v>
      </c>
      <c r="O125" s="78" t="str">
        <f t="shared" si="13"/>
        <v>T70</v>
      </c>
      <c r="P125" s="1" t="b">
        <f t="shared" si="14"/>
        <v>0</v>
      </c>
      <c r="R125" s="43" t="b">
        <v>0</v>
      </c>
      <c r="T125" s="79">
        <f t="shared" si="17"/>
        <v>2.5</v>
      </c>
      <c r="U125" s="1" t="b">
        <f t="shared" si="15"/>
        <v>0</v>
      </c>
    </row>
    <row r="126" spans="1:22" x14ac:dyDescent="0.45">
      <c r="A126" s="42"/>
      <c r="B126" s="77" t="s">
        <v>157</v>
      </c>
      <c r="C126" s="77" t="s">
        <v>159</v>
      </c>
      <c r="D126" s="78">
        <v>1994</v>
      </c>
      <c r="E126" s="78">
        <v>1997</v>
      </c>
      <c r="F126" s="78">
        <v>3473</v>
      </c>
      <c r="G126" s="78">
        <v>275</v>
      </c>
      <c r="H126" s="78">
        <v>325</v>
      </c>
      <c r="I126" s="79">
        <f t="shared" si="9"/>
        <v>291.66666666666663</v>
      </c>
      <c r="J126" s="79">
        <f t="shared" si="10"/>
        <v>11.907428571428573</v>
      </c>
      <c r="K126" s="79">
        <f t="shared" si="11"/>
        <v>61.393428571428565</v>
      </c>
      <c r="L126" s="79">
        <v>60</v>
      </c>
      <c r="M126" s="79">
        <f t="shared" si="12"/>
        <v>0</v>
      </c>
      <c r="N126" s="79">
        <f t="shared" si="16"/>
        <v>61.393428571428565</v>
      </c>
      <c r="O126" s="78" t="str">
        <f t="shared" si="13"/>
        <v>T60</v>
      </c>
      <c r="P126" s="1" t="b">
        <f t="shared" si="14"/>
        <v>0</v>
      </c>
      <c r="R126" s="43" t="b">
        <v>0</v>
      </c>
      <c r="T126" s="79">
        <f t="shared" si="17"/>
        <v>0</v>
      </c>
      <c r="U126" s="1" t="b">
        <f t="shared" si="15"/>
        <v>0</v>
      </c>
      <c r="V126" s="46"/>
    </row>
    <row r="127" spans="1:22" x14ac:dyDescent="0.45">
      <c r="A127" s="42"/>
      <c r="B127" s="77" t="s">
        <v>157</v>
      </c>
      <c r="C127" s="77" t="s">
        <v>159</v>
      </c>
      <c r="D127" s="78">
        <v>1998</v>
      </c>
      <c r="E127" s="78">
        <v>2001</v>
      </c>
      <c r="F127" s="78">
        <v>3459</v>
      </c>
      <c r="G127" s="78">
        <v>284</v>
      </c>
      <c r="H127" s="78">
        <v>322</v>
      </c>
      <c r="I127" s="79">
        <f t="shared" si="9"/>
        <v>296.66666666666663</v>
      </c>
      <c r="J127" s="79">
        <f t="shared" si="10"/>
        <v>11.659550561797754</v>
      </c>
      <c r="K127" s="79">
        <f t="shared" si="11"/>
        <v>62.446910112359546</v>
      </c>
      <c r="L127" s="79">
        <v>65</v>
      </c>
      <c r="M127" s="79">
        <f t="shared" si="12"/>
        <v>2.5</v>
      </c>
      <c r="N127" s="79">
        <f t="shared" si="16"/>
        <v>64.946910112359546</v>
      </c>
      <c r="O127" s="78" t="str">
        <f t="shared" si="13"/>
        <v>T60</v>
      </c>
      <c r="P127" s="1" t="b">
        <f t="shared" si="14"/>
        <v>0</v>
      </c>
      <c r="R127" s="43" t="b">
        <v>0</v>
      </c>
      <c r="T127" s="79">
        <f t="shared" si="17"/>
        <v>2.5</v>
      </c>
      <c r="U127" s="1" t="b">
        <f t="shared" si="15"/>
        <v>0</v>
      </c>
      <c r="V127" s="46"/>
    </row>
    <row r="128" spans="1:22" x14ac:dyDescent="0.45">
      <c r="A128" s="42"/>
      <c r="B128" s="77" t="s">
        <v>157</v>
      </c>
      <c r="C128" s="77" t="s">
        <v>159</v>
      </c>
      <c r="D128" s="78">
        <v>2014</v>
      </c>
      <c r="E128" s="78">
        <v>2015</v>
      </c>
      <c r="F128" s="78">
        <v>3856</v>
      </c>
      <c r="G128" s="78">
        <v>505</v>
      </c>
      <c r="H128" s="78">
        <v>481</v>
      </c>
      <c r="I128" s="79">
        <f t="shared" si="9"/>
        <v>496.99999999999994</v>
      </c>
      <c r="J128" s="79">
        <f t="shared" si="10"/>
        <v>7.7585513078470836</v>
      </c>
      <c r="K128" s="79">
        <f t="shared" si="11"/>
        <v>79.026156941649901</v>
      </c>
      <c r="L128" s="79">
        <v>75</v>
      </c>
      <c r="M128" s="79">
        <f t="shared" si="12"/>
        <v>7.5</v>
      </c>
      <c r="N128" s="79">
        <f t="shared" si="16"/>
        <v>86.526156941649901</v>
      </c>
      <c r="O128" s="78" t="str">
        <f t="shared" si="13"/>
        <v>T80</v>
      </c>
      <c r="P128" s="1" t="b">
        <f t="shared" si="14"/>
        <v>0</v>
      </c>
      <c r="R128" s="43" t="b">
        <v>0</v>
      </c>
      <c r="T128" s="79">
        <f t="shared" si="17"/>
        <v>7.5</v>
      </c>
      <c r="U128" s="1" t="b">
        <f t="shared" si="15"/>
        <v>0</v>
      </c>
      <c r="V128" s="46"/>
    </row>
    <row r="129" spans="1:22" x14ac:dyDescent="0.45">
      <c r="A129" s="42"/>
      <c r="B129" s="77" t="s">
        <v>157</v>
      </c>
      <c r="C129" s="77" t="s">
        <v>552</v>
      </c>
      <c r="D129" s="78">
        <v>2017</v>
      </c>
      <c r="E129" s="78"/>
      <c r="F129" s="78">
        <v>3886</v>
      </c>
      <c r="G129" s="78">
        <v>650</v>
      </c>
      <c r="H129" s="78">
        <v>650</v>
      </c>
      <c r="I129" s="79">
        <f t="shared" si="9"/>
        <v>650</v>
      </c>
      <c r="J129" s="79">
        <f t="shared" si="10"/>
        <v>5.9784615384615387</v>
      </c>
      <c r="K129" s="79">
        <f t="shared" si="11"/>
        <v>86.591538461538462</v>
      </c>
      <c r="L129" s="79">
        <v>85</v>
      </c>
      <c r="M129" s="79">
        <f t="shared" si="12"/>
        <v>12.5</v>
      </c>
      <c r="N129" s="79">
        <f t="shared" si="16"/>
        <v>99.091538461538462</v>
      </c>
      <c r="O129" s="78" t="str">
        <f t="shared" si="13"/>
        <v>T90</v>
      </c>
      <c r="P129" s="1" t="b">
        <f t="shared" si="14"/>
        <v>0</v>
      </c>
      <c r="R129" s="43" t="b">
        <v>0</v>
      </c>
      <c r="T129" s="79">
        <f t="shared" si="17"/>
        <v>12.5</v>
      </c>
      <c r="U129" s="1" t="b">
        <f t="shared" si="15"/>
        <v>0</v>
      </c>
      <c r="V129" s="46"/>
    </row>
    <row r="130" spans="1:22" x14ac:dyDescent="0.45">
      <c r="A130" s="42"/>
      <c r="B130" s="77" t="s">
        <v>157</v>
      </c>
      <c r="C130" s="77" t="s">
        <v>552</v>
      </c>
      <c r="D130" s="78">
        <v>2012</v>
      </c>
      <c r="E130" s="78">
        <v>2015</v>
      </c>
      <c r="F130" s="78">
        <v>4118</v>
      </c>
      <c r="G130" s="78">
        <v>580</v>
      </c>
      <c r="H130" s="78">
        <v>556</v>
      </c>
      <c r="I130" s="79">
        <f t="shared" si="9"/>
        <v>572</v>
      </c>
      <c r="J130" s="79">
        <f t="shared" si="10"/>
        <v>7.1993006993006992</v>
      </c>
      <c r="K130" s="79">
        <f t="shared" si="11"/>
        <v>81.402972027972027</v>
      </c>
      <c r="L130" s="79">
        <v>75</v>
      </c>
      <c r="M130" s="79">
        <f t="shared" si="12"/>
        <v>7.5</v>
      </c>
      <c r="N130" s="79">
        <f t="shared" si="16"/>
        <v>88.902972027972027</v>
      </c>
      <c r="O130" s="78" t="str">
        <f t="shared" si="13"/>
        <v>T80</v>
      </c>
      <c r="P130" s="1" t="b">
        <f t="shared" si="14"/>
        <v>0</v>
      </c>
      <c r="R130" s="43" t="b">
        <v>0</v>
      </c>
      <c r="T130" s="79">
        <f t="shared" si="17"/>
        <v>7.5</v>
      </c>
      <c r="U130" s="1" t="b">
        <f t="shared" si="15"/>
        <v>0</v>
      </c>
    </row>
    <row r="131" spans="1:22" x14ac:dyDescent="0.45">
      <c r="A131" s="42"/>
      <c r="B131" s="77" t="s">
        <v>157</v>
      </c>
      <c r="C131" s="77" t="s">
        <v>656</v>
      </c>
      <c r="D131" s="78">
        <v>2019</v>
      </c>
      <c r="E131" s="78"/>
      <c r="F131" s="78">
        <v>3886</v>
      </c>
      <c r="G131" s="78">
        <v>650</v>
      </c>
      <c r="H131" s="78">
        <v>650</v>
      </c>
      <c r="I131" s="79">
        <f t="shared" si="9"/>
        <v>650</v>
      </c>
      <c r="J131" s="79">
        <f t="shared" si="10"/>
        <v>5.9784615384615387</v>
      </c>
      <c r="K131" s="79">
        <f t="shared" si="11"/>
        <v>86.591538461538462</v>
      </c>
      <c r="L131" s="79">
        <v>90</v>
      </c>
      <c r="M131" s="79">
        <f t="shared" si="12"/>
        <v>15</v>
      </c>
      <c r="N131" s="79">
        <f t="shared" si="16"/>
        <v>101.59153846153846</v>
      </c>
      <c r="O131" s="78" t="str">
        <f t="shared" si="13"/>
        <v>T100</v>
      </c>
      <c r="P131" s="1" t="b">
        <f t="shared" si="14"/>
        <v>0</v>
      </c>
      <c r="R131" s="43" t="b">
        <v>0</v>
      </c>
      <c r="T131" s="79">
        <f t="shared" si="17"/>
        <v>15</v>
      </c>
      <c r="U131" s="1" t="b">
        <f t="shared" si="15"/>
        <v>0</v>
      </c>
    </row>
    <row r="132" spans="1:22" x14ac:dyDescent="0.45">
      <c r="A132" s="42"/>
      <c r="B132" s="77" t="s">
        <v>157</v>
      </c>
      <c r="C132" s="77" t="s">
        <v>160</v>
      </c>
      <c r="D132" s="78">
        <v>1986</v>
      </c>
      <c r="E132" s="78">
        <v>1986</v>
      </c>
      <c r="F132" s="78">
        <v>3200</v>
      </c>
      <c r="G132" s="78">
        <v>230</v>
      </c>
      <c r="H132" s="78">
        <v>330</v>
      </c>
      <c r="I132" s="79">
        <f t="shared" si="9"/>
        <v>263.33333333333331</v>
      </c>
      <c r="J132" s="79">
        <f t="shared" si="10"/>
        <v>12.151898734177216</v>
      </c>
      <c r="K132" s="79">
        <f t="shared" si="11"/>
        <v>60.35443037974683</v>
      </c>
      <c r="L132" s="79">
        <v>70</v>
      </c>
      <c r="M132" s="79">
        <f t="shared" si="12"/>
        <v>5</v>
      </c>
      <c r="N132" s="79">
        <f t="shared" si="16"/>
        <v>65.35443037974683</v>
      </c>
      <c r="O132" s="78" t="str">
        <f t="shared" si="13"/>
        <v>T60</v>
      </c>
      <c r="P132" s="1" t="b">
        <f t="shared" si="14"/>
        <v>0</v>
      </c>
      <c r="R132" s="43" t="b">
        <v>0</v>
      </c>
      <c r="T132" s="79">
        <f t="shared" si="17"/>
        <v>5</v>
      </c>
      <c r="U132" s="1" t="b">
        <f t="shared" si="15"/>
        <v>0</v>
      </c>
    </row>
    <row r="133" spans="1:22" x14ac:dyDescent="0.45">
      <c r="A133" s="42"/>
      <c r="B133" s="77" t="s">
        <v>157</v>
      </c>
      <c r="C133" s="77" t="s">
        <v>494</v>
      </c>
      <c r="D133" s="78">
        <v>1997</v>
      </c>
      <c r="E133" s="78">
        <v>2000</v>
      </c>
      <c r="F133" s="78">
        <v>3230</v>
      </c>
      <c r="G133" s="78">
        <v>345</v>
      </c>
      <c r="H133" s="78">
        <v>350</v>
      </c>
      <c r="I133" s="79">
        <f t="shared" si="9"/>
        <v>346.66666666666663</v>
      </c>
      <c r="J133" s="79">
        <f t="shared" si="10"/>
        <v>9.3173076923076934</v>
      </c>
      <c r="K133" s="79">
        <f t="shared" si="11"/>
        <v>72.401442307692307</v>
      </c>
      <c r="L133" s="79">
        <v>80</v>
      </c>
      <c r="M133" s="79">
        <f t="shared" si="12"/>
        <v>10</v>
      </c>
      <c r="N133" s="79">
        <f t="shared" si="16"/>
        <v>82.401442307692307</v>
      </c>
      <c r="O133" s="78" t="str">
        <f t="shared" si="13"/>
        <v>T80</v>
      </c>
      <c r="P133" s="1" t="b">
        <f t="shared" si="14"/>
        <v>0</v>
      </c>
      <c r="R133" s="43" t="b">
        <v>0</v>
      </c>
      <c r="T133" s="79">
        <f t="shared" si="17"/>
        <v>10</v>
      </c>
      <c r="U133" s="1" t="b">
        <f t="shared" si="15"/>
        <v>0</v>
      </c>
    </row>
    <row r="134" spans="1:22" x14ac:dyDescent="0.45">
      <c r="A134" s="42"/>
      <c r="B134" s="77" t="s">
        <v>157</v>
      </c>
      <c r="C134" s="77" t="s">
        <v>494</v>
      </c>
      <c r="D134" s="78">
        <v>2001</v>
      </c>
      <c r="E134" s="78">
        <v>2004</v>
      </c>
      <c r="F134" s="78">
        <v>3230</v>
      </c>
      <c r="G134" s="78">
        <v>350</v>
      </c>
      <c r="H134" s="78">
        <v>360</v>
      </c>
      <c r="I134" s="79">
        <f t="shared" si="9"/>
        <v>353.33333333333331</v>
      </c>
      <c r="J134" s="79">
        <f t="shared" si="10"/>
        <v>9.1415094339622645</v>
      </c>
      <c r="K134" s="79">
        <f t="shared" si="11"/>
        <v>73.148584905660385</v>
      </c>
      <c r="L134" s="79">
        <v>80</v>
      </c>
      <c r="M134" s="79">
        <f t="shared" si="12"/>
        <v>10</v>
      </c>
      <c r="N134" s="79">
        <f t="shared" si="16"/>
        <v>83.148584905660385</v>
      </c>
      <c r="O134" s="78" t="str">
        <f t="shared" si="13"/>
        <v>T80</v>
      </c>
      <c r="P134" s="1" t="b">
        <f t="shared" si="14"/>
        <v>0</v>
      </c>
      <c r="R134" s="43" t="b">
        <v>0</v>
      </c>
      <c r="T134" s="79">
        <f t="shared" si="17"/>
        <v>10</v>
      </c>
      <c r="U134" s="1" t="b">
        <f t="shared" si="15"/>
        <v>0</v>
      </c>
    </row>
    <row r="135" spans="1:22" x14ac:dyDescent="0.45">
      <c r="A135" s="42"/>
      <c r="B135" s="77" t="s">
        <v>157</v>
      </c>
      <c r="C135" s="77" t="s">
        <v>696</v>
      </c>
      <c r="D135" s="78">
        <v>2001</v>
      </c>
      <c r="E135" s="78">
        <v>2001</v>
      </c>
      <c r="F135" s="78">
        <v>3130</v>
      </c>
      <c r="G135" s="78">
        <v>385</v>
      </c>
      <c r="H135" s="78">
        <v>385</v>
      </c>
      <c r="I135" s="79">
        <f t="shared" si="9"/>
        <v>384.99999999999994</v>
      </c>
      <c r="J135" s="79">
        <f t="shared" si="10"/>
        <v>8.129870129870131</v>
      </c>
      <c r="K135" s="79">
        <f t="shared" si="11"/>
        <v>77.44805194805194</v>
      </c>
      <c r="L135" s="79">
        <v>90</v>
      </c>
      <c r="M135" s="79">
        <f t="shared" si="12"/>
        <v>15</v>
      </c>
      <c r="N135" s="79">
        <f t="shared" si="16"/>
        <v>92.44805194805194</v>
      </c>
      <c r="O135" s="78" t="str">
        <f t="shared" si="13"/>
        <v>T90</v>
      </c>
      <c r="P135" s="1" t="b">
        <f t="shared" si="14"/>
        <v>0</v>
      </c>
      <c r="R135" s="43" t="b">
        <v>0</v>
      </c>
      <c r="T135" s="79">
        <f t="shared" si="17"/>
        <v>15</v>
      </c>
      <c r="U135" s="1" t="b">
        <f t="shared" si="15"/>
        <v>0</v>
      </c>
    </row>
    <row r="136" spans="1:22" x14ac:dyDescent="0.45">
      <c r="A136" s="42"/>
      <c r="B136" s="77" t="s">
        <v>157</v>
      </c>
      <c r="C136" s="77" t="s">
        <v>696</v>
      </c>
      <c r="D136" s="78">
        <v>2002</v>
      </c>
      <c r="E136" s="78">
        <v>2004</v>
      </c>
      <c r="F136" s="78">
        <v>3116</v>
      </c>
      <c r="G136" s="78">
        <v>405</v>
      </c>
      <c r="H136" s="78">
        <v>400</v>
      </c>
      <c r="I136" s="79">
        <f t="shared" si="9"/>
        <v>403.33333333333331</v>
      </c>
      <c r="J136" s="79">
        <f t="shared" si="10"/>
        <v>7.7256198347107441</v>
      </c>
      <c r="K136" s="79">
        <f t="shared" si="11"/>
        <v>79.166115702479345</v>
      </c>
      <c r="L136" s="79">
        <v>90</v>
      </c>
      <c r="M136" s="79">
        <f t="shared" si="12"/>
        <v>15</v>
      </c>
      <c r="N136" s="79">
        <f t="shared" si="16"/>
        <v>94.166115702479345</v>
      </c>
      <c r="O136" s="78" t="str">
        <f t="shared" si="13"/>
        <v>T90</v>
      </c>
      <c r="P136" s="1" t="b">
        <f t="shared" si="14"/>
        <v>0</v>
      </c>
      <c r="R136" s="43" t="b">
        <v>0</v>
      </c>
      <c r="T136" s="79">
        <f t="shared" si="17"/>
        <v>15</v>
      </c>
      <c r="U136" s="1" t="b">
        <f t="shared" si="15"/>
        <v>0</v>
      </c>
    </row>
    <row r="137" spans="1:22" x14ac:dyDescent="0.45">
      <c r="A137" s="42"/>
      <c r="B137" s="77" t="s">
        <v>157</v>
      </c>
      <c r="C137" s="77" t="s">
        <v>493</v>
      </c>
      <c r="D137" s="78">
        <v>2006</v>
      </c>
      <c r="E137" s="78">
        <v>2007</v>
      </c>
      <c r="F137" s="78">
        <v>3133</v>
      </c>
      <c r="G137" s="78">
        <v>505</v>
      </c>
      <c r="H137" s="78">
        <v>470</v>
      </c>
      <c r="I137" s="79">
        <f t="shared" si="9"/>
        <v>493.33333333333326</v>
      </c>
      <c r="J137" s="79">
        <f t="shared" si="10"/>
        <v>6.350675675675677</v>
      </c>
      <c r="K137" s="79">
        <f t="shared" si="11"/>
        <v>85.00962837837838</v>
      </c>
      <c r="L137" s="79">
        <v>90</v>
      </c>
      <c r="M137" s="79">
        <f t="shared" si="12"/>
        <v>15</v>
      </c>
      <c r="N137" s="79">
        <f t="shared" si="16"/>
        <v>100.00962837837838</v>
      </c>
      <c r="O137" s="78" t="str">
        <f t="shared" si="13"/>
        <v>T100</v>
      </c>
      <c r="P137" s="1" t="b">
        <f t="shared" si="14"/>
        <v>0</v>
      </c>
      <c r="R137" s="43" t="b">
        <v>0</v>
      </c>
      <c r="T137" s="79">
        <f t="shared" si="17"/>
        <v>15</v>
      </c>
      <c r="U137" s="1" t="b">
        <f t="shared" si="15"/>
        <v>0</v>
      </c>
    </row>
    <row r="138" spans="1:22" x14ac:dyDescent="0.45">
      <c r="A138" s="42"/>
      <c r="B138" s="77" t="s">
        <v>157</v>
      </c>
      <c r="C138" s="77" t="s">
        <v>493</v>
      </c>
      <c r="D138" s="78">
        <v>2008</v>
      </c>
      <c r="E138" s="78">
        <v>2008</v>
      </c>
      <c r="F138" s="78">
        <v>3161</v>
      </c>
      <c r="G138" s="78">
        <v>506</v>
      </c>
      <c r="H138" s="78">
        <v>470</v>
      </c>
      <c r="I138" s="79">
        <f t="shared" si="9"/>
        <v>494</v>
      </c>
      <c r="J138" s="79">
        <f t="shared" si="10"/>
        <v>6.3987854251012148</v>
      </c>
      <c r="K138" s="79">
        <f t="shared" si="11"/>
        <v>84.805161943319831</v>
      </c>
      <c r="L138" s="79">
        <v>90</v>
      </c>
      <c r="M138" s="79">
        <f t="shared" si="12"/>
        <v>15</v>
      </c>
      <c r="N138" s="79">
        <f t="shared" si="16"/>
        <v>99.805161943319831</v>
      </c>
      <c r="O138" s="78" t="str">
        <f t="shared" si="13"/>
        <v>T90</v>
      </c>
      <c r="P138" s="1" t="b">
        <f t="shared" si="14"/>
        <v>0</v>
      </c>
      <c r="R138" s="43" t="b">
        <v>0</v>
      </c>
      <c r="T138" s="79">
        <f t="shared" si="17"/>
        <v>15</v>
      </c>
      <c r="U138" s="1" t="b">
        <f t="shared" si="15"/>
        <v>0</v>
      </c>
    </row>
    <row r="139" spans="1:22" x14ac:dyDescent="0.45">
      <c r="A139" s="42"/>
      <c r="B139" s="77" t="s">
        <v>157</v>
      </c>
      <c r="C139" s="77" t="s">
        <v>493</v>
      </c>
      <c r="D139" s="78">
        <v>2009</v>
      </c>
      <c r="E139" s="78">
        <v>2013</v>
      </c>
      <c r="F139" s="78">
        <v>3199</v>
      </c>
      <c r="G139" s="78">
        <v>506</v>
      </c>
      <c r="H139" s="78">
        <v>470</v>
      </c>
      <c r="I139" s="79">
        <f t="shared" si="9"/>
        <v>494</v>
      </c>
      <c r="J139" s="79">
        <f t="shared" si="10"/>
        <v>6.4757085020242915</v>
      </c>
      <c r="K139" s="79">
        <f t="shared" si="11"/>
        <v>84.478238866396765</v>
      </c>
      <c r="L139" s="79">
        <v>90</v>
      </c>
      <c r="M139" s="79">
        <f t="shared" si="12"/>
        <v>15</v>
      </c>
      <c r="N139" s="79">
        <f t="shared" si="16"/>
        <v>99.478238866396765</v>
      </c>
      <c r="O139" s="78" t="str">
        <f t="shared" si="13"/>
        <v>T90</v>
      </c>
      <c r="P139" s="1" t="b">
        <f t="shared" si="14"/>
        <v>0</v>
      </c>
      <c r="R139" s="43" t="b">
        <v>0</v>
      </c>
      <c r="T139" s="79">
        <f t="shared" si="17"/>
        <v>15</v>
      </c>
      <c r="U139" s="1" t="b">
        <f t="shared" si="15"/>
        <v>0</v>
      </c>
      <c r="V139" s="46"/>
    </row>
    <row r="140" spans="1:22" x14ac:dyDescent="0.45">
      <c r="A140" s="42"/>
      <c r="B140" s="77" t="s">
        <v>157</v>
      </c>
      <c r="C140" s="77" t="s">
        <v>492</v>
      </c>
      <c r="D140" s="78">
        <v>2005</v>
      </c>
      <c r="E140" s="78">
        <v>2007</v>
      </c>
      <c r="F140" s="78">
        <v>3179</v>
      </c>
      <c r="G140" s="78">
        <v>400</v>
      </c>
      <c r="H140" s="78">
        <v>400</v>
      </c>
      <c r="I140" s="79">
        <f t="shared" ref="I140:I203" si="18">G140*(2/3)+H140*(1/3)</f>
        <v>399.99999999999994</v>
      </c>
      <c r="J140" s="79">
        <f t="shared" ref="J140:J203" si="19">F140/I140</f>
        <v>7.9475000000000016</v>
      </c>
      <c r="K140" s="79">
        <f t="shared" ref="K140:K203" si="20">J140*-4.25+112</f>
        <v>78.223124999999996</v>
      </c>
      <c r="L140" s="79">
        <v>87</v>
      </c>
      <c r="M140" s="79">
        <f t="shared" ref="M140:M203" si="21">(L140-60)/3*1.5</f>
        <v>13.5</v>
      </c>
      <c r="N140" s="79">
        <f t="shared" si="16"/>
        <v>91.723124999999996</v>
      </c>
      <c r="O140" s="78" t="str">
        <f t="shared" ref="O140:O203" si="22">INDEX(Base_Classes, MATCH($N140, Base_Assessments, 1)+1)</f>
        <v>T90</v>
      </c>
      <c r="P140" s="1" t="b">
        <f t="shared" ref="P140:P203" si="23">OR(R140,A140)</f>
        <v>0</v>
      </c>
      <c r="R140" s="43" t="b">
        <v>0</v>
      </c>
      <c r="T140" s="79">
        <f t="shared" si="17"/>
        <v>13.5</v>
      </c>
      <c r="U140" s="1" t="b">
        <f t="shared" ref="U140:U203" si="24">AND(P140,$S$9)</f>
        <v>0</v>
      </c>
    </row>
    <row r="141" spans="1:22" x14ac:dyDescent="0.45">
      <c r="A141" s="42"/>
      <c r="B141" s="77" t="s">
        <v>157</v>
      </c>
      <c r="C141" s="77" t="s">
        <v>492</v>
      </c>
      <c r="D141" s="78">
        <v>2008</v>
      </c>
      <c r="E141" s="78">
        <v>2009</v>
      </c>
      <c r="F141" s="78">
        <v>3216</v>
      </c>
      <c r="G141" s="78">
        <v>430</v>
      </c>
      <c r="H141" s="78">
        <v>424</v>
      </c>
      <c r="I141" s="79">
        <f t="shared" si="18"/>
        <v>427.99999999999994</v>
      </c>
      <c r="J141" s="79">
        <f t="shared" si="19"/>
        <v>7.5140186915887863</v>
      </c>
      <c r="K141" s="79">
        <f t="shared" si="20"/>
        <v>80.065420560747654</v>
      </c>
      <c r="L141" s="79">
        <v>87</v>
      </c>
      <c r="M141" s="79">
        <f t="shared" si="21"/>
        <v>13.5</v>
      </c>
      <c r="N141" s="79">
        <f t="shared" ref="N141:N204" si="25">M141+K141</f>
        <v>93.565420560747654</v>
      </c>
      <c r="O141" s="78" t="str">
        <f t="shared" si="22"/>
        <v>T90</v>
      </c>
      <c r="P141" s="1" t="b">
        <f t="shared" si="23"/>
        <v>0</v>
      </c>
      <c r="R141" s="43" t="b">
        <v>0</v>
      </c>
      <c r="T141" s="79">
        <f t="shared" ref="T141:T204" si="26">(L141-60)/3*1.5</f>
        <v>13.5</v>
      </c>
      <c r="U141" s="1" t="b">
        <f t="shared" si="24"/>
        <v>0</v>
      </c>
    </row>
    <row r="142" spans="1:22" x14ac:dyDescent="0.45">
      <c r="A142" s="42"/>
      <c r="B142" s="77" t="s">
        <v>157</v>
      </c>
      <c r="C142" s="77" t="s">
        <v>490</v>
      </c>
      <c r="D142" s="78">
        <v>2005</v>
      </c>
      <c r="E142" s="78">
        <v>2007</v>
      </c>
      <c r="F142" s="78">
        <v>3179</v>
      </c>
      <c r="G142" s="78">
        <v>400</v>
      </c>
      <c r="H142" s="78">
        <v>400</v>
      </c>
      <c r="I142" s="79">
        <f t="shared" si="18"/>
        <v>399.99999999999994</v>
      </c>
      <c r="J142" s="79">
        <f t="shared" si="19"/>
        <v>7.9475000000000016</v>
      </c>
      <c r="K142" s="79">
        <f t="shared" si="20"/>
        <v>78.223124999999996</v>
      </c>
      <c r="L142" s="79">
        <v>85</v>
      </c>
      <c r="M142" s="79">
        <f t="shared" si="21"/>
        <v>12.5</v>
      </c>
      <c r="N142" s="79">
        <f t="shared" si="25"/>
        <v>90.723124999999996</v>
      </c>
      <c r="O142" s="78" t="str">
        <f t="shared" si="22"/>
        <v>T90</v>
      </c>
      <c r="P142" s="1" t="b">
        <f t="shared" si="23"/>
        <v>0</v>
      </c>
      <c r="R142" s="43" t="b">
        <v>0</v>
      </c>
      <c r="T142" s="79">
        <f t="shared" si="26"/>
        <v>12.5</v>
      </c>
      <c r="U142" s="1" t="b">
        <f t="shared" si="24"/>
        <v>0</v>
      </c>
    </row>
    <row r="143" spans="1:22" x14ac:dyDescent="0.45">
      <c r="A143" s="42"/>
      <c r="B143" s="77" t="s">
        <v>157</v>
      </c>
      <c r="C143" s="77" t="s">
        <v>490</v>
      </c>
      <c r="D143" s="78">
        <v>2008</v>
      </c>
      <c r="E143" s="78">
        <v>2013</v>
      </c>
      <c r="F143" s="78">
        <v>3208</v>
      </c>
      <c r="G143" s="78">
        <v>430</v>
      </c>
      <c r="H143" s="78">
        <v>424</v>
      </c>
      <c r="I143" s="79">
        <f t="shared" si="18"/>
        <v>427.99999999999994</v>
      </c>
      <c r="J143" s="79">
        <f t="shared" si="19"/>
        <v>7.4953271028037394</v>
      </c>
      <c r="K143" s="79">
        <f t="shared" si="20"/>
        <v>80.144859813084111</v>
      </c>
      <c r="L143" s="79">
        <v>85</v>
      </c>
      <c r="M143" s="79">
        <f t="shared" si="21"/>
        <v>12.5</v>
      </c>
      <c r="N143" s="79">
        <f t="shared" si="25"/>
        <v>92.644859813084111</v>
      </c>
      <c r="O143" s="78" t="str">
        <f t="shared" si="22"/>
        <v>T90</v>
      </c>
      <c r="P143" s="1" t="b">
        <f t="shared" si="23"/>
        <v>0</v>
      </c>
      <c r="R143" s="43" t="b">
        <v>0</v>
      </c>
      <c r="T143" s="79">
        <f t="shared" si="26"/>
        <v>12.5</v>
      </c>
      <c r="U143" s="1" t="b">
        <f t="shared" si="24"/>
        <v>0</v>
      </c>
    </row>
    <row r="144" spans="1:22" x14ac:dyDescent="0.45">
      <c r="A144" s="42"/>
      <c r="B144" s="77" t="s">
        <v>157</v>
      </c>
      <c r="C144" s="77" t="s">
        <v>491</v>
      </c>
      <c r="D144" s="78">
        <v>2010</v>
      </c>
      <c r="E144" s="78">
        <v>2013</v>
      </c>
      <c r="F144" s="78">
        <v>3289</v>
      </c>
      <c r="G144" s="78">
        <v>430</v>
      </c>
      <c r="H144" s="78">
        <v>424</v>
      </c>
      <c r="I144" s="79">
        <f t="shared" si="18"/>
        <v>427.99999999999994</v>
      </c>
      <c r="J144" s="79">
        <f t="shared" si="19"/>
        <v>7.6845794392523379</v>
      </c>
      <c r="K144" s="79">
        <f t="shared" si="20"/>
        <v>79.340537383177562</v>
      </c>
      <c r="L144" s="79">
        <v>90</v>
      </c>
      <c r="M144" s="79">
        <f t="shared" si="21"/>
        <v>15</v>
      </c>
      <c r="N144" s="79">
        <f t="shared" si="25"/>
        <v>94.340537383177562</v>
      </c>
      <c r="O144" s="78" t="str">
        <f t="shared" si="22"/>
        <v>T90</v>
      </c>
      <c r="P144" s="1" t="b">
        <f t="shared" si="23"/>
        <v>0</v>
      </c>
      <c r="R144" s="43" t="b">
        <v>0</v>
      </c>
      <c r="T144" s="79">
        <f t="shared" si="26"/>
        <v>15</v>
      </c>
      <c r="U144" s="1" t="b">
        <f t="shared" si="24"/>
        <v>0</v>
      </c>
    </row>
    <row r="145" spans="1:22" x14ac:dyDescent="0.45">
      <c r="A145" s="42"/>
      <c r="B145" s="77" t="s">
        <v>157</v>
      </c>
      <c r="C145" s="77" t="s">
        <v>489</v>
      </c>
      <c r="D145" s="78">
        <v>2014</v>
      </c>
      <c r="E145" s="78">
        <v>2019</v>
      </c>
      <c r="F145" s="78">
        <v>3550</v>
      </c>
      <c r="G145" s="78">
        <v>625</v>
      </c>
      <c r="H145" s="78">
        <v>635</v>
      </c>
      <c r="I145" s="79">
        <f t="shared" si="18"/>
        <v>628.33333333333326</v>
      </c>
      <c r="J145" s="79">
        <f t="shared" si="19"/>
        <v>5.6498673740053054</v>
      </c>
      <c r="K145" s="79">
        <f t="shared" si="20"/>
        <v>87.988063660477451</v>
      </c>
      <c r="L145" s="79">
        <v>100</v>
      </c>
      <c r="M145" s="79">
        <f t="shared" si="21"/>
        <v>20</v>
      </c>
      <c r="N145" s="79">
        <f t="shared" si="25"/>
        <v>107.98806366047745</v>
      </c>
      <c r="O145" s="78" t="str">
        <f t="shared" si="22"/>
        <v>T100</v>
      </c>
      <c r="P145" s="1" t="b">
        <f t="shared" si="23"/>
        <v>0</v>
      </c>
      <c r="R145" s="43" t="b">
        <v>0</v>
      </c>
      <c r="T145" s="79">
        <f t="shared" si="26"/>
        <v>20</v>
      </c>
      <c r="U145" s="1" t="b">
        <f t="shared" si="24"/>
        <v>0</v>
      </c>
    </row>
    <row r="146" spans="1:22" x14ac:dyDescent="0.45">
      <c r="A146" s="42"/>
      <c r="B146" s="77" t="s">
        <v>157</v>
      </c>
      <c r="C146" s="77" t="s">
        <v>557</v>
      </c>
      <c r="D146" s="78">
        <v>2014</v>
      </c>
      <c r="E146" s="78">
        <v>2019</v>
      </c>
      <c r="F146" s="78">
        <v>3550</v>
      </c>
      <c r="G146" s="78">
        <v>625</v>
      </c>
      <c r="H146" s="78">
        <v>635</v>
      </c>
      <c r="I146" s="79">
        <f t="shared" si="18"/>
        <v>628.33333333333326</v>
      </c>
      <c r="J146" s="79">
        <f t="shared" si="19"/>
        <v>5.6498673740053054</v>
      </c>
      <c r="K146" s="79">
        <f t="shared" si="20"/>
        <v>87.988063660477451</v>
      </c>
      <c r="L146" s="79">
        <v>105</v>
      </c>
      <c r="M146" s="79">
        <f t="shared" si="21"/>
        <v>22.5</v>
      </c>
      <c r="N146" s="79">
        <f t="shared" si="25"/>
        <v>110.48806366047745</v>
      </c>
      <c r="O146" s="78" t="str">
        <f t="shared" si="22"/>
        <v>T110</v>
      </c>
      <c r="P146" s="1" t="b">
        <f t="shared" si="23"/>
        <v>0</v>
      </c>
      <c r="R146" s="43" t="b">
        <v>0</v>
      </c>
      <c r="T146" s="79">
        <f t="shared" si="26"/>
        <v>22.5</v>
      </c>
      <c r="U146" s="1" t="b">
        <f t="shared" si="24"/>
        <v>0</v>
      </c>
    </row>
    <row r="147" spans="1:22" x14ac:dyDescent="0.45">
      <c r="A147" s="42"/>
      <c r="B147" s="77" t="s">
        <v>157</v>
      </c>
      <c r="C147" s="77" t="s">
        <v>488</v>
      </c>
      <c r="D147" s="78">
        <v>2014</v>
      </c>
      <c r="E147" s="78">
        <v>2019</v>
      </c>
      <c r="F147" s="78">
        <v>3444</v>
      </c>
      <c r="G147" s="78">
        <v>460</v>
      </c>
      <c r="H147" s="78">
        <v>460</v>
      </c>
      <c r="I147" s="79">
        <f t="shared" si="18"/>
        <v>459.99999999999994</v>
      </c>
      <c r="J147" s="79">
        <f t="shared" si="19"/>
        <v>7.4869565217391312</v>
      </c>
      <c r="K147" s="79">
        <f t="shared" si="20"/>
        <v>80.1804347826087</v>
      </c>
      <c r="L147" s="79">
        <v>95</v>
      </c>
      <c r="M147" s="79">
        <f t="shared" si="21"/>
        <v>17.5</v>
      </c>
      <c r="N147" s="79">
        <f t="shared" si="25"/>
        <v>97.6804347826087</v>
      </c>
      <c r="O147" s="78" t="str">
        <f t="shared" si="22"/>
        <v>T90</v>
      </c>
      <c r="P147" s="1" t="b">
        <f t="shared" si="23"/>
        <v>0</v>
      </c>
      <c r="R147" s="43" t="b">
        <v>0</v>
      </c>
      <c r="T147" s="79">
        <f t="shared" si="26"/>
        <v>17.5</v>
      </c>
      <c r="U147" s="1" t="b">
        <f t="shared" si="24"/>
        <v>0</v>
      </c>
    </row>
    <row r="148" spans="1:22" x14ac:dyDescent="0.45">
      <c r="A148" s="42"/>
      <c r="B148" s="77" t="s">
        <v>157</v>
      </c>
      <c r="C148" s="77" t="s">
        <v>487</v>
      </c>
      <c r="D148" s="78">
        <v>2014</v>
      </c>
      <c r="E148" s="78">
        <v>2019</v>
      </c>
      <c r="F148" s="78">
        <v>3347</v>
      </c>
      <c r="G148" s="78">
        <v>455</v>
      </c>
      <c r="H148" s="78">
        <v>460</v>
      </c>
      <c r="I148" s="79">
        <f t="shared" si="18"/>
        <v>456.66666666666663</v>
      </c>
      <c r="J148" s="79">
        <f t="shared" si="19"/>
        <v>7.329197080291971</v>
      </c>
      <c r="K148" s="79">
        <f t="shared" si="20"/>
        <v>80.850912408759115</v>
      </c>
      <c r="L148" s="79">
        <v>90</v>
      </c>
      <c r="M148" s="79">
        <f t="shared" si="21"/>
        <v>15</v>
      </c>
      <c r="N148" s="79">
        <f t="shared" si="25"/>
        <v>95.850912408759115</v>
      </c>
      <c r="O148" s="78" t="str">
        <f t="shared" si="22"/>
        <v>T90</v>
      </c>
      <c r="P148" s="1" t="b">
        <f t="shared" si="23"/>
        <v>0</v>
      </c>
      <c r="R148" s="43" t="b">
        <v>0</v>
      </c>
      <c r="T148" s="79">
        <f t="shared" si="26"/>
        <v>15</v>
      </c>
      <c r="U148" s="1" t="b">
        <f t="shared" si="24"/>
        <v>0</v>
      </c>
    </row>
    <row r="149" spans="1:22" x14ac:dyDescent="0.45">
      <c r="A149" s="42"/>
      <c r="B149" s="89" t="s">
        <v>157</v>
      </c>
      <c r="C149" s="89" t="s">
        <v>697</v>
      </c>
      <c r="D149" s="84">
        <v>2017</v>
      </c>
      <c r="E149" s="84">
        <v>2019</v>
      </c>
      <c r="F149" s="84">
        <v>3445</v>
      </c>
      <c r="G149" s="84">
        <v>460</v>
      </c>
      <c r="H149" s="84">
        <v>465</v>
      </c>
      <c r="I149" s="85">
        <f t="shared" si="18"/>
        <v>461.66666666666663</v>
      </c>
      <c r="J149" s="85">
        <f t="shared" si="19"/>
        <v>7.4620938628158848</v>
      </c>
      <c r="K149" s="79">
        <f t="shared" si="20"/>
        <v>80.286101083032491</v>
      </c>
      <c r="L149" s="85">
        <v>100</v>
      </c>
      <c r="M149" s="79">
        <f t="shared" si="21"/>
        <v>20</v>
      </c>
      <c r="N149" s="85">
        <f t="shared" si="25"/>
        <v>100.28610108303249</v>
      </c>
      <c r="O149" s="78" t="str">
        <f t="shared" si="22"/>
        <v>T100</v>
      </c>
      <c r="P149" s="1" t="b">
        <f t="shared" si="23"/>
        <v>0</v>
      </c>
      <c r="R149" s="43" t="b">
        <v>0</v>
      </c>
      <c r="T149" s="79">
        <f t="shared" si="26"/>
        <v>20</v>
      </c>
      <c r="U149" s="1" t="b">
        <f t="shared" si="24"/>
        <v>0</v>
      </c>
    </row>
    <row r="150" spans="1:22" x14ac:dyDescent="0.45">
      <c r="A150" s="42"/>
      <c r="B150" s="77" t="s">
        <v>157</v>
      </c>
      <c r="C150" s="77" t="s">
        <v>657</v>
      </c>
      <c r="D150" s="78">
        <v>2020</v>
      </c>
      <c r="E150" s="78"/>
      <c r="F150" s="78">
        <v>3640</v>
      </c>
      <c r="G150" s="78">
        <v>490</v>
      </c>
      <c r="H150" s="78">
        <v>465</v>
      </c>
      <c r="I150" s="79">
        <f t="shared" si="18"/>
        <v>481.66666666666663</v>
      </c>
      <c r="J150" s="79">
        <f t="shared" si="19"/>
        <v>7.5570934256055367</v>
      </c>
      <c r="K150" s="79">
        <f t="shared" si="20"/>
        <v>79.882352941176464</v>
      </c>
      <c r="L150" s="79">
        <v>105</v>
      </c>
      <c r="M150" s="79">
        <f t="shared" si="21"/>
        <v>22.5</v>
      </c>
      <c r="N150" s="79">
        <f t="shared" si="25"/>
        <v>102.38235294117646</v>
      </c>
      <c r="O150" s="78" t="str">
        <f t="shared" si="22"/>
        <v>T100</v>
      </c>
      <c r="P150" s="1" t="b">
        <f t="shared" si="23"/>
        <v>0</v>
      </c>
      <c r="R150" s="43" t="b">
        <v>0</v>
      </c>
      <c r="T150" s="79">
        <f t="shared" si="26"/>
        <v>22.5</v>
      </c>
      <c r="U150" s="1" t="b">
        <f t="shared" si="24"/>
        <v>0</v>
      </c>
    </row>
    <row r="151" spans="1:22" x14ac:dyDescent="0.45">
      <c r="A151" s="42"/>
      <c r="B151" s="77" t="s">
        <v>157</v>
      </c>
      <c r="C151" s="77" t="s">
        <v>731</v>
      </c>
      <c r="D151" s="78">
        <v>2023</v>
      </c>
      <c r="E151" s="78"/>
      <c r="F151" s="78">
        <v>3750</v>
      </c>
      <c r="G151" s="78">
        <v>670</v>
      </c>
      <c r="H151" s="78">
        <v>470</v>
      </c>
      <c r="I151" s="79">
        <f t="shared" si="18"/>
        <v>603.33333333333326</v>
      </c>
      <c r="J151" s="79">
        <f t="shared" si="19"/>
        <v>6.2154696132596694</v>
      </c>
      <c r="K151" s="79">
        <f t="shared" si="20"/>
        <v>85.584254143646405</v>
      </c>
      <c r="L151" s="79">
        <v>115</v>
      </c>
      <c r="M151" s="79">
        <f t="shared" si="21"/>
        <v>27.5</v>
      </c>
      <c r="N151" s="79">
        <f t="shared" si="25"/>
        <v>113.0842541436464</v>
      </c>
      <c r="O151" s="78" t="str">
        <f t="shared" si="22"/>
        <v>T110</v>
      </c>
      <c r="P151" s="1" t="b">
        <f t="shared" si="23"/>
        <v>0</v>
      </c>
      <c r="R151" s="43" t="b">
        <v>0</v>
      </c>
      <c r="T151" s="79">
        <f t="shared" si="26"/>
        <v>27.5</v>
      </c>
      <c r="U151" s="1" t="b">
        <f t="shared" si="24"/>
        <v>0</v>
      </c>
      <c r="V151" s="46"/>
    </row>
    <row r="152" spans="1:22" x14ac:dyDescent="0.45">
      <c r="A152" s="42"/>
      <c r="B152" s="77" t="s">
        <v>157</v>
      </c>
      <c r="C152" s="77" t="s">
        <v>717</v>
      </c>
      <c r="D152" s="78">
        <v>2020</v>
      </c>
      <c r="E152" s="78"/>
      <c r="F152" s="78">
        <v>3640</v>
      </c>
      <c r="G152" s="78">
        <v>490</v>
      </c>
      <c r="H152" s="78">
        <v>465</v>
      </c>
      <c r="I152" s="79">
        <f t="shared" si="18"/>
        <v>481.66666666666663</v>
      </c>
      <c r="J152" s="79">
        <f t="shared" si="19"/>
        <v>7.5570934256055367</v>
      </c>
      <c r="K152" s="79">
        <f t="shared" si="20"/>
        <v>79.882352941176464</v>
      </c>
      <c r="L152" s="79">
        <v>110</v>
      </c>
      <c r="M152" s="79">
        <f t="shared" si="21"/>
        <v>25</v>
      </c>
      <c r="N152" s="79">
        <f t="shared" si="25"/>
        <v>104.88235294117646</v>
      </c>
      <c r="O152" s="78" t="str">
        <f t="shared" si="22"/>
        <v>T100</v>
      </c>
      <c r="P152" s="1" t="b">
        <f t="shared" si="23"/>
        <v>0</v>
      </c>
      <c r="R152" s="43" t="b">
        <v>0</v>
      </c>
      <c r="T152" s="79">
        <f t="shared" si="26"/>
        <v>25</v>
      </c>
      <c r="U152" s="1" t="b">
        <f t="shared" si="24"/>
        <v>0</v>
      </c>
    </row>
    <row r="153" spans="1:22" x14ac:dyDescent="0.45">
      <c r="A153" s="42"/>
      <c r="B153" s="77" t="s">
        <v>157</v>
      </c>
      <c r="C153" s="77" t="s">
        <v>743</v>
      </c>
      <c r="D153" s="78">
        <v>2016</v>
      </c>
      <c r="E153" s="78"/>
      <c r="F153" s="78">
        <v>3946</v>
      </c>
      <c r="G153" s="78">
        <v>415</v>
      </c>
      <c r="H153" s="78">
        <v>415</v>
      </c>
      <c r="I153" s="79">
        <f t="shared" si="18"/>
        <v>414.99999999999994</v>
      </c>
      <c r="J153" s="79">
        <f t="shared" si="19"/>
        <v>9.5084337349397607</v>
      </c>
      <c r="K153" s="79">
        <f t="shared" si="20"/>
        <v>71.589156626506025</v>
      </c>
      <c r="L153" s="79">
        <v>65</v>
      </c>
      <c r="M153" s="79">
        <f t="shared" si="21"/>
        <v>2.5</v>
      </c>
      <c r="N153" s="79">
        <f t="shared" si="25"/>
        <v>74.089156626506025</v>
      </c>
      <c r="O153" s="78" t="str">
        <f t="shared" si="22"/>
        <v>T70</v>
      </c>
      <c r="P153" s="1" t="b">
        <f t="shared" si="23"/>
        <v>0</v>
      </c>
      <c r="R153" s="43" t="b">
        <v>0</v>
      </c>
      <c r="T153" s="79">
        <f t="shared" si="26"/>
        <v>2.5</v>
      </c>
      <c r="U153" s="1" t="b">
        <f t="shared" si="24"/>
        <v>0</v>
      </c>
      <c r="V153" s="46"/>
    </row>
    <row r="154" spans="1:22" x14ac:dyDescent="0.45">
      <c r="A154" s="42"/>
      <c r="B154" s="77" t="s">
        <v>162</v>
      </c>
      <c r="C154" s="77" t="s">
        <v>163</v>
      </c>
      <c r="D154" s="78">
        <v>1973</v>
      </c>
      <c r="E154" s="78">
        <v>1973</v>
      </c>
      <c r="F154" s="78">
        <v>2355</v>
      </c>
      <c r="G154" s="78">
        <v>150</v>
      </c>
      <c r="H154" s="78">
        <v>146</v>
      </c>
      <c r="I154" s="79">
        <f t="shared" si="18"/>
        <v>148.66666666666666</v>
      </c>
      <c r="J154" s="79">
        <f t="shared" si="19"/>
        <v>15.840807174887894</v>
      </c>
      <c r="K154" s="79">
        <f t="shared" si="20"/>
        <v>44.676569506726452</v>
      </c>
      <c r="L154" s="79">
        <v>55</v>
      </c>
      <c r="M154" s="79">
        <f t="shared" si="21"/>
        <v>-2.5</v>
      </c>
      <c r="N154" s="79">
        <f t="shared" si="25"/>
        <v>42.176569506726452</v>
      </c>
      <c r="O154" s="78" t="str">
        <f t="shared" si="22"/>
        <v>T40</v>
      </c>
      <c r="P154" s="1" t="b">
        <f t="shared" si="23"/>
        <v>0</v>
      </c>
      <c r="R154" s="43" t="b">
        <v>0</v>
      </c>
      <c r="T154" s="79">
        <f t="shared" si="26"/>
        <v>-2.5</v>
      </c>
      <c r="U154" s="1" t="b">
        <f t="shared" si="24"/>
        <v>0</v>
      </c>
    </row>
    <row r="155" spans="1:22" x14ac:dyDescent="0.45">
      <c r="A155" s="42"/>
      <c r="B155" s="89" t="s">
        <v>162</v>
      </c>
      <c r="C155" s="89" t="s">
        <v>698</v>
      </c>
      <c r="D155" s="84">
        <v>1975</v>
      </c>
      <c r="E155" s="84">
        <v>1978</v>
      </c>
      <c r="F155" s="84">
        <v>2692</v>
      </c>
      <c r="G155" s="84">
        <v>170</v>
      </c>
      <c r="H155" s="84">
        <v>177</v>
      </c>
      <c r="I155" s="85">
        <f t="shared" si="18"/>
        <v>172.33333333333331</v>
      </c>
      <c r="J155" s="85">
        <f t="shared" si="19"/>
        <v>15.620889748549324</v>
      </c>
      <c r="K155" s="79">
        <f t="shared" si="20"/>
        <v>45.611218568665379</v>
      </c>
      <c r="L155" s="85">
        <v>55</v>
      </c>
      <c r="M155" s="79">
        <f t="shared" si="21"/>
        <v>-2.5</v>
      </c>
      <c r="N155" s="85">
        <f t="shared" si="25"/>
        <v>43.111218568665379</v>
      </c>
      <c r="O155" s="78" t="str">
        <f t="shared" si="22"/>
        <v>T40</v>
      </c>
      <c r="P155" s="1" t="b">
        <f t="shared" si="23"/>
        <v>0</v>
      </c>
      <c r="R155" s="43" t="b">
        <v>0</v>
      </c>
      <c r="T155" s="79">
        <f t="shared" si="26"/>
        <v>-2.5</v>
      </c>
      <c r="U155" s="1" t="b">
        <f t="shared" si="24"/>
        <v>0</v>
      </c>
    </row>
    <row r="156" spans="1:22" x14ac:dyDescent="0.45">
      <c r="A156" s="42"/>
      <c r="B156" s="77" t="s">
        <v>164</v>
      </c>
      <c r="C156" s="77" t="s">
        <v>658</v>
      </c>
      <c r="D156" s="78">
        <v>2015</v>
      </c>
      <c r="E156" s="78"/>
      <c r="F156" s="78">
        <v>4469</v>
      </c>
      <c r="G156" s="78">
        <v>707</v>
      </c>
      <c r="H156" s="78">
        <v>650</v>
      </c>
      <c r="I156" s="79">
        <f t="shared" si="18"/>
        <v>688</v>
      </c>
      <c r="J156" s="79">
        <f t="shared" si="19"/>
        <v>6.495639534883721</v>
      </c>
      <c r="K156" s="79">
        <f t="shared" si="20"/>
        <v>84.393531976744185</v>
      </c>
      <c r="L156" s="79">
        <v>70</v>
      </c>
      <c r="M156" s="79">
        <f t="shared" si="21"/>
        <v>5</v>
      </c>
      <c r="N156" s="79">
        <f t="shared" si="25"/>
        <v>89.393531976744185</v>
      </c>
      <c r="O156" s="78" t="str">
        <f t="shared" si="22"/>
        <v>T80</v>
      </c>
      <c r="P156" s="1" t="b">
        <f t="shared" si="23"/>
        <v>0</v>
      </c>
      <c r="R156" s="43" t="b">
        <v>0</v>
      </c>
      <c r="T156" s="79">
        <f t="shared" si="26"/>
        <v>5</v>
      </c>
      <c r="U156" s="1" t="b">
        <f t="shared" si="24"/>
        <v>0</v>
      </c>
    </row>
    <row r="157" spans="1:22" x14ac:dyDescent="0.45">
      <c r="A157" s="42"/>
      <c r="B157" s="91" t="s">
        <v>164</v>
      </c>
      <c r="C157" s="91" t="s">
        <v>575</v>
      </c>
      <c r="D157" s="92">
        <v>2011</v>
      </c>
      <c r="E157" s="92"/>
      <c r="F157" s="92">
        <v>4170</v>
      </c>
      <c r="G157" s="92">
        <v>470</v>
      </c>
      <c r="H157" s="92">
        <v>470</v>
      </c>
      <c r="I157" s="121">
        <f t="shared" si="18"/>
        <v>470</v>
      </c>
      <c r="J157" s="121">
        <f t="shared" si="19"/>
        <v>8.8723404255319149</v>
      </c>
      <c r="K157" s="79">
        <f t="shared" si="20"/>
        <v>74.292553191489361</v>
      </c>
      <c r="L157" s="93">
        <v>60</v>
      </c>
      <c r="M157" s="79">
        <f t="shared" si="21"/>
        <v>0</v>
      </c>
      <c r="N157" s="79">
        <f t="shared" si="25"/>
        <v>74.292553191489361</v>
      </c>
      <c r="O157" s="78" t="str">
        <f t="shared" si="22"/>
        <v>T70</v>
      </c>
      <c r="P157" s="1" t="b">
        <f t="shared" si="23"/>
        <v>0</v>
      </c>
      <c r="R157" s="43" t="b">
        <v>0</v>
      </c>
      <c r="T157" s="79">
        <f t="shared" si="26"/>
        <v>0</v>
      </c>
      <c r="U157" s="1" t="b">
        <f t="shared" si="24"/>
        <v>0</v>
      </c>
    </row>
    <row r="158" spans="1:22" x14ac:dyDescent="0.45">
      <c r="A158" s="42"/>
      <c r="B158" s="77" t="s">
        <v>164</v>
      </c>
      <c r="C158" s="77" t="s">
        <v>165</v>
      </c>
      <c r="D158" s="78">
        <v>1995</v>
      </c>
      <c r="E158" s="78">
        <v>1999</v>
      </c>
      <c r="F158" s="78">
        <v>2463</v>
      </c>
      <c r="G158" s="78">
        <v>150</v>
      </c>
      <c r="H158" s="78">
        <v>133</v>
      </c>
      <c r="I158" s="79">
        <f t="shared" si="18"/>
        <v>144.33333333333331</v>
      </c>
      <c r="J158" s="79">
        <f t="shared" si="19"/>
        <v>17.064665127020788</v>
      </c>
      <c r="K158" s="79">
        <f t="shared" si="20"/>
        <v>39.475173210161643</v>
      </c>
      <c r="L158" s="79">
        <v>60</v>
      </c>
      <c r="M158" s="79">
        <f t="shared" si="21"/>
        <v>0</v>
      </c>
      <c r="N158" s="79">
        <f t="shared" si="25"/>
        <v>39.475173210161643</v>
      </c>
      <c r="O158" s="78" t="str">
        <f t="shared" si="22"/>
        <v>T30</v>
      </c>
      <c r="P158" s="1" t="b">
        <f t="shared" si="23"/>
        <v>0</v>
      </c>
      <c r="R158" s="43" t="b">
        <v>0</v>
      </c>
      <c r="T158" s="79">
        <f t="shared" si="26"/>
        <v>0</v>
      </c>
      <c r="U158" s="1" t="b">
        <f t="shared" si="24"/>
        <v>0</v>
      </c>
    </row>
    <row r="159" spans="1:22" x14ac:dyDescent="0.45">
      <c r="A159" s="42"/>
      <c r="B159" s="77" t="s">
        <v>164</v>
      </c>
      <c r="C159" s="77" t="s">
        <v>166</v>
      </c>
      <c r="D159" s="78">
        <v>2000</v>
      </c>
      <c r="E159" s="78">
        <v>2005</v>
      </c>
      <c r="F159" s="78">
        <v>2567</v>
      </c>
      <c r="G159" s="78">
        <v>132</v>
      </c>
      <c r="H159" s="78">
        <v>130</v>
      </c>
      <c r="I159" s="79">
        <f t="shared" si="18"/>
        <v>131.33333333333331</v>
      </c>
      <c r="J159" s="79">
        <f t="shared" si="19"/>
        <v>19.545685279187818</v>
      </c>
      <c r="K159" s="79">
        <f t="shared" si="20"/>
        <v>28.930837563451774</v>
      </c>
      <c r="L159" s="79">
        <v>55</v>
      </c>
      <c r="M159" s="79">
        <f t="shared" si="21"/>
        <v>-2.5</v>
      </c>
      <c r="N159" s="79">
        <f t="shared" si="25"/>
        <v>26.430837563451774</v>
      </c>
      <c r="O159" s="78" t="str">
        <f t="shared" si="22"/>
        <v>T30</v>
      </c>
      <c r="P159" s="1" t="b">
        <f t="shared" si="23"/>
        <v>0</v>
      </c>
      <c r="R159" s="43" t="b">
        <v>0</v>
      </c>
      <c r="T159" s="79">
        <f t="shared" si="26"/>
        <v>-2.5</v>
      </c>
      <c r="U159" s="1" t="b">
        <f t="shared" si="24"/>
        <v>0</v>
      </c>
    </row>
    <row r="160" spans="1:22" x14ac:dyDescent="0.45">
      <c r="A160" s="42"/>
      <c r="B160" s="77" t="s">
        <v>164</v>
      </c>
      <c r="C160" s="77" t="s">
        <v>167</v>
      </c>
      <c r="D160" s="78">
        <v>1997</v>
      </c>
      <c r="E160" s="78">
        <v>1997</v>
      </c>
      <c r="F160" s="78">
        <v>2491</v>
      </c>
      <c r="G160" s="78">
        <v>132</v>
      </c>
      <c r="H160" s="78">
        <v>130</v>
      </c>
      <c r="I160" s="79">
        <f t="shared" si="18"/>
        <v>131.33333333333331</v>
      </c>
      <c r="J160" s="79">
        <f t="shared" si="19"/>
        <v>18.967005076142136</v>
      </c>
      <c r="K160" s="79">
        <f t="shared" si="20"/>
        <v>31.390228426395922</v>
      </c>
      <c r="L160" s="79">
        <v>55</v>
      </c>
      <c r="M160" s="79">
        <f t="shared" si="21"/>
        <v>-2.5</v>
      </c>
      <c r="N160" s="79">
        <f t="shared" si="25"/>
        <v>28.890228426395922</v>
      </c>
      <c r="O160" s="78" t="str">
        <f t="shared" si="22"/>
        <v>T30</v>
      </c>
      <c r="P160" s="1" t="b">
        <f t="shared" si="23"/>
        <v>0</v>
      </c>
      <c r="R160" s="43" t="b">
        <v>0</v>
      </c>
      <c r="T160" s="79">
        <f t="shared" si="26"/>
        <v>-2.5</v>
      </c>
      <c r="U160" s="1" t="b">
        <f t="shared" si="24"/>
        <v>0</v>
      </c>
    </row>
    <row r="161" spans="1:22" x14ac:dyDescent="0.45">
      <c r="A161" s="42"/>
      <c r="B161" s="77" t="s">
        <v>164</v>
      </c>
      <c r="C161" s="77" t="s">
        <v>168</v>
      </c>
      <c r="D161" s="78">
        <v>2000</v>
      </c>
      <c r="E161" s="78">
        <v>2005</v>
      </c>
      <c r="F161" s="78">
        <v>2970</v>
      </c>
      <c r="G161" s="78">
        <v>215</v>
      </c>
      <c r="H161" s="78">
        <v>245</v>
      </c>
      <c r="I161" s="79">
        <f t="shared" si="18"/>
        <v>224.99999999999997</v>
      </c>
      <c r="J161" s="79">
        <f t="shared" si="19"/>
        <v>13.200000000000001</v>
      </c>
      <c r="K161" s="79">
        <f t="shared" si="20"/>
        <v>55.9</v>
      </c>
      <c r="L161" s="79">
        <v>60</v>
      </c>
      <c r="M161" s="79">
        <f t="shared" si="21"/>
        <v>0</v>
      </c>
      <c r="N161" s="79">
        <f t="shared" si="25"/>
        <v>55.9</v>
      </c>
      <c r="O161" s="78" t="str">
        <f t="shared" si="22"/>
        <v>T50</v>
      </c>
      <c r="P161" s="1" t="b">
        <f t="shared" si="23"/>
        <v>0</v>
      </c>
      <c r="R161" s="43" t="b">
        <v>0</v>
      </c>
      <c r="T161" s="79">
        <f t="shared" si="26"/>
        <v>0</v>
      </c>
      <c r="U161" s="1" t="b">
        <f t="shared" si="24"/>
        <v>0</v>
      </c>
    </row>
    <row r="162" spans="1:22" x14ac:dyDescent="0.45">
      <c r="A162" s="42"/>
      <c r="B162" s="77" t="s">
        <v>164</v>
      </c>
      <c r="C162" s="77" t="s">
        <v>169</v>
      </c>
      <c r="D162" s="78">
        <v>1987</v>
      </c>
      <c r="E162" s="78">
        <v>1987</v>
      </c>
      <c r="F162" s="78">
        <v>2500</v>
      </c>
      <c r="G162" s="78">
        <v>175</v>
      </c>
      <c r="H162" s="78">
        <v>175</v>
      </c>
      <c r="I162" s="79">
        <f t="shared" si="18"/>
        <v>175</v>
      </c>
      <c r="J162" s="79">
        <f t="shared" si="19"/>
        <v>14.285714285714286</v>
      </c>
      <c r="K162" s="79">
        <f t="shared" si="20"/>
        <v>51.285714285714285</v>
      </c>
      <c r="L162" s="79">
        <v>30</v>
      </c>
      <c r="M162" s="79">
        <f t="shared" si="21"/>
        <v>-15</v>
      </c>
      <c r="N162" s="79">
        <f t="shared" si="25"/>
        <v>36.285714285714285</v>
      </c>
      <c r="O162" s="78" t="str">
        <f t="shared" si="22"/>
        <v>T30</v>
      </c>
      <c r="P162" s="1" t="b">
        <f t="shared" si="23"/>
        <v>0</v>
      </c>
      <c r="R162" s="43" t="b">
        <v>0</v>
      </c>
      <c r="T162" s="79">
        <f t="shared" si="26"/>
        <v>-15</v>
      </c>
      <c r="U162" s="1" t="b">
        <f t="shared" si="24"/>
        <v>0</v>
      </c>
    </row>
    <row r="163" spans="1:22" x14ac:dyDescent="0.45">
      <c r="A163" s="42"/>
      <c r="B163" s="77" t="s">
        <v>164</v>
      </c>
      <c r="C163" s="77" t="s">
        <v>170</v>
      </c>
      <c r="D163" s="78">
        <v>1996</v>
      </c>
      <c r="E163" s="78">
        <v>2002</v>
      </c>
      <c r="F163" s="78">
        <v>3383</v>
      </c>
      <c r="G163" s="78">
        <v>450</v>
      </c>
      <c r="H163" s="78">
        <v>490</v>
      </c>
      <c r="I163" s="79">
        <f t="shared" si="18"/>
        <v>463.33333333333331</v>
      </c>
      <c r="J163" s="79">
        <f t="shared" si="19"/>
        <v>7.3014388489208635</v>
      </c>
      <c r="K163" s="79">
        <f t="shared" si="20"/>
        <v>80.968884892086322</v>
      </c>
      <c r="L163" s="79">
        <v>80</v>
      </c>
      <c r="M163" s="79">
        <f t="shared" si="21"/>
        <v>10</v>
      </c>
      <c r="N163" s="79">
        <f t="shared" si="25"/>
        <v>90.968884892086322</v>
      </c>
      <c r="O163" s="78" t="str">
        <f t="shared" si="22"/>
        <v>T90</v>
      </c>
      <c r="P163" s="1" t="b">
        <f t="shared" si="23"/>
        <v>0</v>
      </c>
      <c r="R163" s="43" t="b">
        <v>0</v>
      </c>
      <c r="T163" s="79">
        <f t="shared" si="26"/>
        <v>10</v>
      </c>
      <c r="U163" s="1" t="b">
        <f t="shared" si="24"/>
        <v>0</v>
      </c>
      <c r="V163" s="46"/>
    </row>
    <row r="164" spans="1:22" x14ac:dyDescent="0.45">
      <c r="A164" s="42"/>
      <c r="B164" s="77" t="s">
        <v>164</v>
      </c>
      <c r="C164" s="77" t="s">
        <v>170</v>
      </c>
      <c r="D164" s="78">
        <v>2013</v>
      </c>
      <c r="E164" s="78"/>
      <c r="F164" s="78">
        <v>3431</v>
      </c>
      <c r="G164" s="78">
        <v>640</v>
      </c>
      <c r="H164" s="78">
        <v>560</v>
      </c>
      <c r="I164" s="79">
        <f t="shared" si="18"/>
        <v>613.33333333333326</v>
      </c>
      <c r="J164" s="79">
        <f t="shared" si="19"/>
        <v>5.5940217391304357</v>
      </c>
      <c r="K164" s="79">
        <f t="shared" si="20"/>
        <v>88.225407608695647</v>
      </c>
      <c r="L164" s="79">
        <v>90</v>
      </c>
      <c r="M164" s="79">
        <f t="shared" si="21"/>
        <v>15</v>
      </c>
      <c r="N164" s="79">
        <f t="shared" si="25"/>
        <v>103.22540760869565</v>
      </c>
      <c r="O164" s="78" t="str">
        <f t="shared" si="22"/>
        <v>T100</v>
      </c>
      <c r="P164" s="1" t="b">
        <f t="shared" si="23"/>
        <v>0</v>
      </c>
      <c r="R164" s="43" t="b">
        <v>0</v>
      </c>
      <c r="T164" s="79">
        <f t="shared" si="26"/>
        <v>15</v>
      </c>
      <c r="U164" s="1" t="b">
        <f t="shared" si="24"/>
        <v>0</v>
      </c>
    </row>
    <row r="165" spans="1:22" x14ac:dyDescent="0.45">
      <c r="A165" s="42"/>
      <c r="B165" s="77" t="s">
        <v>164</v>
      </c>
      <c r="C165" s="77" t="s">
        <v>274</v>
      </c>
      <c r="D165" s="78">
        <v>1992</v>
      </c>
      <c r="E165" s="78">
        <v>1995</v>
      </c>
      <c r="F165" s="78">
        <v>3284</v>
      </c>
      <c r="G165" s="78">
        <v>400</v>
      </c>
      <c r="H165" s="78">
        <v>465</v>
      </c>
      <c r="I165" s="79">
        <f t="shared" si="18"/>
        <v>421.66666666666663</v>
      </c>
      <c r="J165" s="79">
        <f t="shared" si="19"/>
        <v>7.7881422924901189</v>
      </c>
      <c r="K165" s="79">
        <f t="shared" si="20"/>
        <v>78.900395256916994</v>
      </c>
      <c r="L165" s="79">
        <v>80</v>
      </c>
      <c r="M165" s="79">
        <f t="shared" si="21"/>
        <v>10</v>
      </c>
      <c r="N165" s="79">
        <f t="shared" si="25"/>
        <v>88.900395256916994</v>
      </c>
      <c r="O165" s="78" t="str">
        <f t="shared" si="22"/>
        <v>T80</v>
      </c>
      <c r="P165" s="1" t="b">
        <f t="shared" si="23"/>
        <v>0</v>
      </c>
      <c r="R165" s="43" t="b">
        <v>0</v>
      </c>
      <c r="T165" s="79">
        <f t="shared" si="26"/>
        <v>10</v>
      </c>
      <c r="U165" s="1" t="b">
        <f t="shared" si="24"/>
        <v>0</v>
      </c>
    </row>
    <row r="166" spans="1:22" x14ac:dyDescent="0.45">
      <c r="A166" s="42"/>
      <c r="B166" s="77" t="s">
        <v>164</v>
      </c>
      <c r="C166" s="77" t="s">
        <v>171</v>
      </c>
      <c r="D166" s="78">
        <v>2003</v>
      </c>
      <c r="E166" s="78">
        <v>2006</v>
      </c>
      <c r="F166" s="78">
        <v>3357</v>
      </c>
      <c r="G166" s="78">
        <v>500</v>
      </c>
      <c r="H166" s="78">
        <v>525</v>
      </c>
      <c r="I166" s="79">
        <f t="shared" si="18"/>
        <v>508.33333333333331</v>
      </c>
      <c r="J166" s="79">
        <f t="shared" si="19"/>
        <v>6.6039344262295083</v>
      </c>
      <c r="K166" s="79">
        <f t="shared" si="20"/>
        <v>83.933278688524581</v>
      </c>
      <c r="L166" s="79">
        <v>85</v>
      </c>
      <c r="M166" s="79">
        <f t="shared" si="21"/>
        <v>12.5</v>
      </c>
      <c r="N166" s="79">
        <f t="shared" si="25"/>
        <v>96.433278688524581</v>
      </c>
      <c r="O166" s="78" t="str">
        <f t="shared" si="22"/>
        <v>T90</v>
      </c>
      <c r="P166" s="1" t="b">
        <f t="shared" si="23"/>
        <v>0</v>
      </c>
      <c r="R166" s="43" t="b">
        <v>0</v>
      </c>
      <c r="T166" s="79">
        <f t="shared" si="26"/>
        <v>12.5</v>
      </c>
      <c r="U166" s="1" t="b">
        <f t="shared" si="24"/>
        <v>0</v>
      </c>
    </row>
    <row r="167" spans="1:22" x14ac:dyDescent="0.45">
      <c r="A167" s="42"/>
      <c r="B167" s="77" t="s">
        <v>164</v>
      </c>
      <c r="C167" s="77" t="s">
        <v>171</v>
      </c>
      <c r="D167" s="78">
        <v>2008</v>
      </c>
      <c r="E167" s="78">
        <v>2010</v>
      </c>
      <c r="F167" s="78">
        <v>3408</v>
      </c>
      <c r="G167" s="78">
        <v>600</v>
      </c>
      <c r="H167" s="78">
        <v>560</v>
      </c>
      <c r="I167" s="79">
        <f t="shared" si="18"/>
        <v>586.66666666666663</v>
      </c>
      <c r="J167" s="79">
        <f t="shared" si="19"/>
        <v>5.8090909090909095</v>
      </c>
      <c r="K167" s="79">
        <f t="shared" si="20"/>
        <v>87.311363636363637</v>
      </c>
      <c r="L167" s="79">
        <v>85</v>
      </c>
      <c r="M167" s="79">
        <f t="shared" si="21"/>
        <v>12.5</v>
      </c>
      <c r="N167" s="79">
        <f t="shared" si="25"/>
        <v>99.811363636363637</v>
      </c>
      <c r="O167" s="78" t="str">
        <f t="shared" si="22"/>
        <v>T90</v>
      </c>
      <c r="P167" s="1" t="b">
        <f t="shared" si="23"/>
        <v>0</v>
      </c>
      <c r="R167" s="43" t="b">
        <v>0</v>
      </c>
      <c r="T167" s="79">
        <f t="shared" si="26"/>
        <v>12.5</v>
      </c>
      <c r="U167" s="1" t="b">
        <f t="shared" si="24"/>
        <v>0</v>
      </c>
    </row>
    <row r="168" spans="1:22" x14ac:dyDescent="0.45">
      <c r="A168" s="42"/>
      <c r="B168" s="77" t="s">
        <v>659</v>
      </c>
      <c r="C168" s="77" t="s">
        <v>660</v>
      </c>
      <c r="D168" s="78">
        <v>2019</v>
      </c>
      <c r="E168" s="78"/>
      <c r="F168" s="78">
        <v>4443</v>
      </c>
      <c r="G168" s="78">
        <v>797</v>
      </c>
      <c r="H168" s="78">
        <v>707</v>
      </c>
      <c r="I168" s="79">
        <f t="shared" si="18"/>
        <v>766.99999999999989</v>
      </c>
      <c r="J168" s="79">
        <f t="shared" si="19"/>
        <v>5.7926988265971326</v>
      </c>
      <c r="K168" s="79">
        <f t="shared" si="20"/>
        <v>87.38102998696219</v>
      </c>
      <c r="L168" s="79">
        <v>70</v>
      </c>
      <c r="M168" s="79">
        <f t="shared" si="21"/>
        <v>5</v>
      </c>
      <c r="N168" s="79">
        <f t="shared" si="25"/>
        <v>92.38102998696219</v>
      </c>
      <c r="O168" s="78" t="str">
        <f t="shared" si="22"/>
        <v>T90</v>
      </c>
      <c r="P168" s="1" t="b">
        <f t="shared" si="23"/>
        <v>0</v>
      </c>
      <c r="R168" s="43" t="b">
        <v>0</v>
      </c>
      <c r="T168" s="79">
        <f t="shared" si="26"/>
        <v>5</v>
      </c>
      <c r="U168" s="1" t="b">
        <f t="shared" si="24"/>
        <v>0</v>
      </c>
    </row>
    <row r="169" spans="1:22" x14ac:dyDescent="0.45">
      <c r="A169" s="42"/>
      <c r="B169" s="77" t="s">
        <v>380</v>
      </c>
      <c r="C169" s="77" t="s">
        <v>381</v>
      </c>
      <c r="D169" s="78">
        <v>1962</v>
      </c>
      <c r="E169" s="78">
        <v>1964</v>
      </c>
      <c r="F169" s="78">
        <v>2425</v>
      </c>
      <c r="G169" s="78">
        <v>302</v>
      </c>
      <c r="H169" s="78">
        <v>246</v>
      </c>
      <c r="I169" s="79">
        <f t="shared" si="18"/>
        <v>283.33333333333331</v>
      </c>
      <c r="J169" s="79">
        <f t="shared" si="19"/>
        <v>8.5588235294117645</v>
      </c>
      <c r="K169" s="79">
        <f t="shared" si="20"/>
        <v>75.625</v>
      </c>
      <c r="L169" s="79">
        <v>50</v>
      </c>
      <c r="M169" s="79">
        <f t="shared" si="21"/>
        <v>-5</v>
      </c>
      <c r="N169" s="79">
        <f t="shared" si="25"/>
        <v>70.625</v>
      </c>
      <c r="O169" s="78" t="str">
        <f t="shared" si="22"/>
        <v>T70</v>
      </c>
      <c r="P169" s="1" t="b">
        <f t="shared" si="23"/>
        <v>0</v>
      </c>
      <c r="R169" s="43" t="b">
        <v>0</v>
      </c>
      <c r="T169" s="79">
        <f t="shared" si="26"/>
        <v>-5</v>
      </c>
      <c r="U169" s="1" t="b">
        <f t="shared" si="24"/>
        <v>0</v>
      </c>
    </row>
    <row r="170" spans="1:22" x14ac:dyDescent="0.45">
      <c r="A170" s="42"/>
      <c r="B170" s="77" t="s">
        <v>380</v>
      </c>
      <c r="C170" s="77" t="s">
        <v>382</v>
      </c>
      <c r="D170" s="78">
        <v>1977</v>
      </c>
      <c r="E170" s="78">
        <v>1985</v>
      </c>
      <c r="F170" s="78">
        <v>2778</v>
      </c>
      <c r="G170" s="78">
        <v>240</v>
      </c>
      <c r="H170" s="78">
        <v>209</v>
      </c>
      <c r="I170" s="79">
        <f t="shared" si="18"/>
        <v>229.66666666666666</v>
      </c>
      <c r="J170" s="79">
        <f t="shared" si="19"/>
        <v>12.09579100145138</v>
      </c>
      <c r="K170" s="79">
        <f t="shared" si="20"/>
        <v>60.592888243831638</v>
      </c>
      <c r="L170" s="79">
        <v>65</v>
      </c>
      <c r="M170" s="79">
        <f t="shared" si="21"/>
        <v>2.5</v>
      </c>
      <c r="N170" s="79">
        <f t="shared" si="25"/>
        <v>63.092888243831638</v>
      </c>
      <c r="O170" s="78" t="str">
        <f t="shared" si="22"/>
        <v>T60</v>
      </c>
      <c r="P170" s="1" t="b">
        <f t="shared" si="23"/>
        <v>0</v>
      </c>
      <c r="R170" s="43" t="b">
        <v>0</v>
      </c>
      <c r="T170" s="79">
        <f t="shared" si="26"/>
        <v>2.5</v>
      </c>
      <c r="U170" s="1" t="b">
        <f t="shared" si="24"/>
        <v>0</v>
      </c>
    </row>
    <row r="171" spans="1:22" x14ac:dyDescent="0.45">
      <c r="A171" s="42"/>
      <c r="B171" s="77" t="s">
        <v>380</v>
      </c>
      <c r="C171" s="77" t="s">
        <v>383</v>
      </c>
      <c r="D171" s="78">
        <v>1985</v>
      </c>
      <c r="E171" s="78">
        <v>1990</v>
      </c>
      <c r="F171" s="78">
        <v>2806</v>
      </c>
      <c r="G171" s="78">
        <v>270</v>
      </c>
      <c r="H171" s="78">
        <v>225</v>
      </c>
      <c r="I171" s="79">
        <f t="shared" si="18"/>
        <v>255</v>
      </c>
      <c r="J171" s="79">
        <f t="shared" si="19"/>
        <v>11.003921568627451</v>
      </c>
      <c r="K171" s="79">
        <f t="shared" si="20"/>
        <v>65.233333333333334</v>
      </c>
      <c r="L171" s="79">
        <v>70</v>
      </c>
      <c r="M171" s="79">
        <f t="shared" si="21"/>
        <v>5</v>
      </c>
      <c r="N171" s="79">
        <f t="shared" si="25"/>
        <v>70.233333333333334</v>
      </c>
      <c r="O171" s="78" t="str">
        <f t="shared" si="22"/>
        <v>T70</v>
      </c>
      <c r="P171" s="1" t="b">
        <f t="shared" si="23"/>
        <v>0</v>
      </c>
      <c r="R171" s="43" t="b">
        <v>0</v>
      </c>
      <c r="T171" s="79">
        <f t="shared" si="26"/>
        <v>5</v>
      </c>
      <c r="U171" s="1" t="b">
        <f t="shared" si="24"/>
        <v>0</v>
      </c>
    </row>
    <row r="172" spans="1:22" x14ac:dyDescent="0.45">
      <c r="A172" s="42"/>
      <c r="B172" s="77" t="s">
        <v>380</v>
      </c>
      <c r="C172" s="77" t="s">
        <v>384</v>
      </c>
      <c r="D172" s="78">
        <v>2002</v>
      </c>
      <c r="E172" s="78">
        <v>2004</v>
      </c>
      <c r="F172" s="78">
        <v>3010</v>
      </c>
      <c r="G172" s="78">
        <v>651</v>
      </c>
      <c r="H172" s="78">
        <v>485</v>
      </c>
      <c r="I172" s="79">
        <f t="shared" si="18"/>
        <v>595.66666666666663</v>
      </c>
      <c r="J172" s="79">
        <f t="shared" si="19"/>
        <v>5.0531617235590378</v>
      </c>
      <c r="K172" s="79">
        <f t="shared" si="20"/>
        <v>90.524062674874088</v>
      </c>
      <c r="L172" s="79">
        <v>105</v>
      </c>
      <c r="M172" s="79">
        <f t="shared" si="21"/>
        <v>22.5</v>
      </c>
      <c r="N172" s="79">
        <f t="shared" si="25"/>
        <v>113.02406267487409</v>
      </c>
      <c r="O172" s="78" t="str">
        <f t="shared" si="22"/>
        <v>T110</v>
      </c>
      <c r="P172" s="1" t="b">
        <f t="shared" si="23"/>
        <v>0</v>
      </c>
      <c r="R172" s="43" t="b">
        <v>0</v>
      </c>
      <c r="T172" s="79">
        <f t="shared" si="26"/>
        <v>22.5</v>
      </c>
      <c r="U172" s="1" t="b">
        <f t="shared" si="24"/>
        <v>0</v>
      </c>
    </row>
    <row r="173" spans="1:22" x14ac:dyDescent="0.45">
      <c r="A173" s="42"/>
      <c r="B173" s="77" t="s">
        <v>380</v>
      </c>
      <c r="C173" s="77" t="s">
        <v>385</v>
      </c>
      <c r="D173" s="78">
        <v>1994</v>
      </c>
      <c r="E173" s="78">
        <v>1999</v>
      </c>
      <c r="F173" s="78">
        <v>2976</v>
      </c>
      <c r="G173" s="78">
        <v>380</v>
      </c>
      <c r="H173" s="78">
        <v>286</v>
      </c>
      <c r="I173" s="79">
        <f t="shared" si="18"/>
        <v>348.66666666666663</v>
      </c>
      <c r="J173" s="79">
        <f t="shared" si="19"/>
        <v>8.5353728489483753</v>
      </c>
      <c r="K173" s="79">
        <f t="shared" si="20"/>
        <v>75.72466539196941</v>
      </c>
      <c r="L173" s="79">
        <v>85</v>
      </c>
      <c r="M173" s="79">
        <f t="shared" si="21"/>
        <v>12.5</v>
      </c>
      <c r="N173" s="79">
        <f t="shared" si="25"/>
        <v>88.22466539196941</v>
      </c>
      <c r="O173" s="78" t="str">
        <f t="shared" si="22"/>
        <v>T80</v>
      </c>
      <c r="P173" s="1" t="b">
        <f t="shared" si="23"/>
        <v>0</v>
      </c>
      <c r="R173" s="43" t="b">
        <v>0</v>
      </c>
      <c r="T173" s="79">
        <f t="shared" si="26"/>
        <v>12.5</v>
      </c>
      <c r="U173" s="1" t="b">
        <f t="shared" si="24"/>
        <v>0</v>
      </c>
    </row>
    <row r="174" spans="1:22" x14ac:dyDescent="0.45">
      <c r="A174" s="42"/>
      <c r="B174" s="77" t="s">
        <v>380</v>
      </c>
      <c r="C174" s="77" t="s">
        <v>386</v>
      </c>
      <c r="D174" s="78">
        <v>1999</v>
      </c>
      <c r="E174" s="78">
        <v>2005</v>
      </c>
      <c r="F174" s="78">
        <v>3197</v>
      </c>
      <c r="G174" s="78">
        <v>400</v>
      </c>
      <c r="H174" s="78">
        <v>275</v>
      </c>
      <c r="I174" s="79">
        <f t="shared" si="18"/>
        <v>358.33333333333326</v>
      </c>
      <c r="J174" s="79">
        <f t="shared" si="19"/>
        <v>8.9218604651162803</v>
      </c>
      <c r="K174" s="79">
        <f t="shared" si="20"/>
        <v>74.082093023255808</v>
      </c>
      <c r="L174" s="79">
        <v>90</v>
      </c>
      <c r="M174" s="79">
        <f t="shared" si="21"/>
        <v>15</v>
      </c>
      <c r="N174" s="79">
        <f t="shared" si="25"/>
        <v>89.082093023255808</v>
      </c>
      <c r="O174" s="78" t="str">
        <f t="shared" si="22"/>
        <v>T80</v>
      </c>
      <c r="P174" s="1" t="b">
        <f t="shared" si="23"/>
        <v>0</v>
      </c>
      <c r="R174" s="43" t="b">
        <v>0</v>
      </c>
      <c r="T174" s="79">
        <f t="shared" si="26"/>
        <v>15</v>
      </c>
      <c r="U174" s="1" t="b">
        <f t="shared" si="24"/>
        <v>0</v>
      </c>
      <c r="V174" s="46"/>
    </row>
    <row r="175" spans="1:22" x14ac:dyDescent="0.45">
      <c r="A175" s="42"/>
      <c r="B175" s="77" t="s">
        <v>380</v>
      </c>
      <c r="C175" s="77" t="s">
        <v>387</v>
      </c>
      <c r="D175" s="78">
        <v>1987</v>
      </c>
      <c r="E175" s="78">
        <v>1992</v>
      </c>
      <c r="F175" s="78">
        <v>2400</v>
      </c>
      <c r="G175" s="78">
        <v>478</v>
      </c>
      <c r="H175" s="78">
        <v>425</v>
      </c>
      <c r="I175" s="79">
        <f t="shared" si="18"/>
        <v>460.33333333333326</v>
      </c>
      <c r="J175" s="79">
        <f t="shared" si="19"/>
        <v>5.2136133236784943</v>
      </c>
      <c r="K175" s="79">
        <f t="shared" si="20"/>
        <v>89.842143374366401</v>
      </c>
      <c r="L175" s="79">
        <v>85</v>
      </c>
      <c r="M175" s="79">
        <f t="shared" si="21"/>
        <v>12.5</v>
      </c>
      <c r="N175" s="79">
        <f t="shared" si="25"/>
        <v>102.3421433743664</v>
      </c>
      <c r="O175" s="78" t="str">
        <f t="shared" si="22"/>
        <v>T100</v>
      </c>
      <c r="P175" s="1" t="b">
        <f t="shared" si="23"/>
        <v>0</v>
      </c>
      <c r="R175" s="43" t="b">
        <v>0</v>
      </c>
      <c r="T175" s="79">
        <f t="shared" si="26"/>
        <v>12.5</v>
      </c>
      <c r="U175" s="1" t="b">
        <f t="shared" si="24"/>
        <v>0</v>
      </c>
    </row>
    <row r="176" spans="1:22" x14ac:dyDescent="0.45">
      <c r="A176" s="42"/>
      <c r="B176" s="77" t="s">
        <v>380</v>
      </c>
      <c r="C176" s="77" t="s">
        <v>388</v>
      </c>
      <c r="D176" s="78">
        <v>2004</v>
      </c>
      <c r="E176" s="78">
        <v>2009</v>
      </c>
      <c r="F176" s="78">
        <v>3197</v>
      </c>
      <c r="G176" s="78">
        <v>483</v>
      </c>
      <c r="H176" s="78">
        <v>343</v>
      </c>
      <c r="I176" s="79">
        <f t="shared" si="18"/>
        <v>436.33333333333331</v>
      </c>
      <c r="J176" s="79">
        <f t="shared" si="19"/>
        <v>7.3269671504965626</v>
      </c>
      <c r="K176" s="79">
        <f t="shared" si="20"/>
        <v>80.860389610389603</v>
      </c>
      <c r="L176" s="79">
        <v>95</v>
      </c>
      <c r="M176" s="79">
        <f t="shared" si="21"/>
        <v>17.5</v>
      </c>
      <c r="N176" s="79">
        <f t="shared" si="25"/>
        <v>98.360389610389603</v>
      </c>
      <c r="O176" s="78" t="str">
        <f t="shared" si="22"/>
        <v>T90</v>
      </c>
      <c r="P176" s="1" t="b">
        <f t="shared" si="23"/>
        <v>0</v>
      </c>
      <c r="R176" s="43" t="b">
        <v>0</v>
      </c>
      <c r="T176" s="79">
        <f t="shared" si="26"/>
        <v>17.5</v>
      </c>
      <c r="U176" s="1" t="b">
        <f t="shared" si="24"/>
        <v>0</v>
      </c>
    </row>
    <row r="177" spans="1:22" x14ac:dyDescent="0.45">
      <c r="A177" s="42"/>
      <c r="B177" s="77" t="s">
        <v>380</v>
      </c>
      <c r="C177" s="77" t="s">
        <v>389</v>
      </c>
      <c r="D177" s="78">
        <v>2010</v>
      </c>
      <c r="E177" s="78"/>
      <c r="F177" s="78">
        <v>3274</v>
      </c>
      <c r="G177" s="78">
        <v>562</v>
      </c>
      <c r="H177" s="78">
        <v>398</v>
      </c>
      <c r="I177" s="79">
        <f t="shared" si="18"/>
        <v>507.33333333333326</v>
      </c>
      <c r="J177" s="79">
        <f t="shared" si="19"/>
        <v>6.4533508541392912</v>
      </c>
      <c r="K177" s="79">
        <f t="shared" si="20"/>
        <v>84.573258869908017</v>
      </c>
      <c r="L177" s="79">
        <v>95</v>
      </c>
      <c r="M177" s="79">
        <f t="shared" si="21"/>
        <v>17.5</v>
      </c>
      <c r="N177" s="79">
        <f t="shared" si="25"/>
        <v>102.07325886990802</v>
      </c>
      <c r="O177" s="78" t="str">
        <f t="shared" si="22"/>
        <v>T100</v>
      </c>
      <c r="P177" s="1" t="b">
        <f t="shared" si="23"/>
        <v>0</v>
      </c>
      <c r="R177" s="43" t="b">
        <v>0</v>
      </c>
      <c r="T177" s="79">
        <f t="shared" si="26"/>
        <v>17.5</v>
      </c>
      <c r="U177" s="1" t="b">
        <f t="shared" si="24"/>
        <v>0</v>
      </c>
    </row>
    <row r="178" spans="1:22" x14ac:dyDescent="0.45">
      <c r="A178" s="42"/>
      <c r="B178" s="77" t="s">
        <v>390</v>
      </c>
      <c r="C178" s="77" t="s">
        <v>391</v>
      </c>
      <c r="D178" s="78">
        <v>2008</v>
      </c>
      <c r="E178" s="78"/>
      <c r="F178" s="78">
        <v>2500</v>
      </c>
      <c r="G178" s="78">
        <v>133</v>
      </c>
      <c r="H178" s="78">
        <v>130</v>
      </c>
      <c r="I178" s="79">
        <f t="shared" si="18"/>
        <v>132</v>
      </c>
      <c r="J178" s="79">
        <f t="shared" si="19"/>
        <v>18.939393939393938</v>
      </c>
      <c r="K178" s="79">
        <f t="shared" si="20"/>
        <v>31.507575757575765</v>
      </c>
      <c r="L178" s="79">
        <v>55</v>
      </c>
      <c r="M178" s="79">
        <f t="shared" si="21"/>
        <v>-2.5</v>
      </c>
      <c r="N178" s="79">
        <f t="shared" si="25"/>
        <v>29.007575757575765</v>
      </c>
      <c r="O178" s="78" t="str">
        <f t="shared" si="22"/>
        <v>T30</v>
      </c>
      <c r="P178" s="1" t="b">
        <f t="shared" si="23"/>
        <v>0</v>
      </c>
      <c r="R178" s="43" t="b">
        <v>0</v>
      </c>
      <c r="T178" s="79">
        <f t="shared" si="26"/>
        <v>-2.5</v>
      </c>
      <c r="U178" s="1" t="b">
        <f t="shared" si="24"/>
        <v>0</v>
      </c>
    </row>
    <row r="179" spans="1:22" x14ac:dyDescent="0.45">
      <c r="A179" s="42"/>
      <c r="B179" s="77" t="s">
        <v>172</v>
      </c>
      <c r="C179" s="77" t="s">
        <v>495</v>
      </c>
      <c r="D179" s="78">
        <v>1998</v>
      </c>
      <c r="E179" s="78">
        <v>1998</v>
      </c>
      <c r="F179" s="78">
        <v>2531</v>
      </c>
      <c r="G179" s="78">
        <v>130</v>
      </c>
      <c r="H179" s="78">
        <v>127</v>
      </c>
      <c r="I179" s="79">
        <f t="shared" si="18"/>
        <v>129</v>
      </c>
      <c r="J179" s="79">
        <f t="shared" si="19"/>
        <v>19.620155038759691</v>
      </c>
      <c r="K179" s="79">
        <f t="shared" si="20"/>
        <v>28.61434108527132</v>
      </c>
      <c r="L179" s="79">
        <v>55</v>
      </c>
      <c r="M179" s="79">
        <f t="shared" si="21"/>
        <v>-2.5</v>
      </c>
      <c r="N179" s="79">
        <f t="shared" si="25"/>
        <v>26.11434108527132</v>
      </c>
      <c r="O179" s="78" t="str">
        <f t="shared" si="22"/>
        <v>T30</v>
      </c>
      <c r="P179" s="1" t="b">
        <f t="shared" si="23"/>
        <v>0</v>
      </c>
      <c r="R179" s="43" t="b">
        <v>0</v>
      </c>
      <c r="T179" s="79">
        <f t="shared" si="26"/>
        <v>-2.5</v>
      </c>
      <c r="U179" s="1" t="b">
        <f t="shared" si="24"/>
        <v>0</v>
      </c>
    </row>
    <row r="180" spans="1:22" x14ac:dyDescent="0.45">
      <c r="A180" s="42"/>
      <c r="B180" s="77" t="s">
        <v>172</v>
      </c>
      <c r="C180" s="77" t="s">
        <v>555</v>
      </c>
      <c r="D180" s="78">
        <v>2015</v>
      </c>
      <c r="E180" s="78"/>
      <c r="F180" s="78">
        <v>2742</v>
      </c>
      <c r="G180" s="78">
        <v>197</v>
      </c>
      <c r="H180" s="78">
        <v>202</v>
      </c>
      <c r="I180" s="79">
        <f t="shared" si="18"/>
        <v>198.66666666666663</v>
      </c>
      <c r="J180" s="79">
        <f t="shared" si="19"/>
        <v>13.802013422818794</v>
      </c>
      <c r="K180" s="79">
        <f t="shared" si="20"/>
        <v>53.341442953020128</v>
      </c>
      <c r="L180" s="79">
        <v>60</v>
      </c>
      <c r="M180" s="79">
        <f t="shared" si="21"/>
        <v>0</v>
      </c>
      <c r="N180" s="79">
        <f t="shared" si="25"/>
        <v>53.341442953020128</v>
      </c>
      <c r="O180" s="78" t="str">
        <f t="shared" si="22"/>
        <v>T50</v>
      </c>
      <c r="P180" s="1" t="b">
        <f t="shared" si="23"/>
        <v>0</v>
      </c>
      <c r="R180" s="43" t="b">
        <v>0</v>
      </c>
      <c r="T180" s="79">
        <f t="shared" si="26"/>
        <v>0</v>
      </c>
      <c r="U180" s="1" t="b">
        <f t="shared" si="24"/>
        <v>0</v>
      </c>
    </row>
    <row r="181" spans="1:22" x14ac:dyDescent="0.45">
      <c r="A181" s="42"/>
      <c r="B181" s="77" t="s">
        <v>172</v>
      </c>
      <c r="C181" s="77" t="s">
        <v>392</v>
      </c>
      <c r="D181" s="78">
        <v>2008</v>
      </c>
      <c r="E181" s="78">
        <v>2011</v>
      </c>
      <c r="F181" s="78">
        <v>2588</v>
      </c>
      <c r="G181" s="78">
        <v>140</v>
      </c>
      <c r="H181" s="78">
        <v>136</v>
      </c>
      <c r="I181" s="79">
        <f t="shared" si="18"/>
        <v>138.66666666666666</v>
      </c>
      <c r="J181" s="79">
        <f t="shared" si="19"/>
        <v>18.66346153846154</v>
      </c>
      <c r="K181" s="79">
        <f t="shared" si="20"/>
        <v>32.680288461538453</v>
      </c>
      <c r="L181" s="79">
        <v>55</v>
      </c>
      <c r="M181" s="79">
        <f t="shared" si="21"/>
        <v>-2.5</v>
      </c>
      <c r="N181" s="79">
        <f t="shared" si="25"/>
        <v>30.180288461538453</v>
      </c>
      <c r="O181" s="78" t="str">
        <f t="shared" si="22"/>
        <v>T30</v>
      </c>
      <c r="P181" s="1" t="b">
        <f t="shared" si="23"/>
        <v>0</v>
      </c>
      <c r="R181" s="43" t="b">
        <v>0</v>
      </c>
      <c r="T181" s="79">
        <f t="shared" si="26"/>
        <v>-2.5</v>
      </c>
      <c r="U181" s="1" t="b">
        <f t="shared" si="24"/>
        <v>0</v>
      </c>
    </row>
    <row r="182" spans="1:22" x14ac:dyDescent="0.45">
      <c r="A182" s="42"/>
      <c r="B182" s="89" t="s">
        <v>172</v>
      </c>
      <c r="C182" s="89" t="s">
        <v>563</v>
      </c>
      <c r="D182" s="84">
        <v>2016</v>
      </c>
      <c r="E182" s="84"/>
      <c r="F182" s="84">
        <v>3459</v>
      </c>
      <c r="G182" s="84">
        <v>350</v>
      </c>
      <c r="H182" s="84">
        <v>350</v>
      </c>
      <c r="I182" s="85">
        <f t="shared" si="18"/>
        <v>350</v>
      </c>
      <c r="J182" s="85">
        <f t="shared" si="19"/>
        <v>9.8828571428571426</v>
      </c>
      <c r="K182" s="79">
        <f t="shared" si="20"/>
        <v>69.997857142857143</v>
      </c>
      <c r="L182" s="85">
        <v>85</v>
      </c>
      <c r="M182" s="79">
        <f t="shared" si="21"/>
        <v>12.5</v>
      </c>
      <c r="N182" s="85">
        <f t="shared" si="25"/>
        <v>82.497857142857143</v>
      </c>
      <c r="O182" s="78" t="str">
        <f t="shared" si="22"/>
        <v>T80</v>
      </c>
      <c r="P182" s="1" t="b">
        <f t="shared" si="23"/>
        <v>0</v>
      </c>
      <c r="R182" s="43" t="b">
        <v>0</v>
      </c>
      <c r="T182" s="79">
        <f t="shared" si="26"/>
        <v>12.5</v>
      </c>
      <c r="U182" s="1" t="b">
        <f t="shared" si="24"/>
        <v>0</v>
      </c>
    </row>
    <row r="183" spans="1:22" x14ac:dyDescent="0.45">
      <c r="A183" s="42"/>
      <c r="B183" s="77" t="s">
        <v>172</v>
      </c>
      <c r="C183" s="77" t="s">
        <v>393</v>
      </c>
      <c r="D183" s="78">
        <v>2000</v>
      </c>
      <c r="E183" s="78">
        <v>2004</v>
      </c>
      <c r="F183" s="78">
        <v>2546</v>
      </c>
      <c r="G183" s="78">
        <v>100</v>
      </c>
      <c r="H183" s="78">
        <v>125</v>
      </c>
      <c r="I183" s="79">
        <f t="shared" si="18"/>
        <v>108.33333333333331</v>
      </c>
      <c r="J183" s="79">
        <f t="shared" si="19"/>
        <v>23.501538461538466</v>
      </c>
      <c r="K183" s="79">
        <f t="shared" si="20"/>
        <v>12.118461538461517</v>
      </c>
      <c r="L183" s="79">
        <v>55</v>
      </c>
      <c r="M183" s="79">
        <f t="shared" si="21"/>
        <v>-2.5</v>
      </c>
      <c r="N183" s="79">
        <f t="shared" si="25"/>
        <v>9.6184615384615171</v>
      </c>
      <c r="O183" s="78" t="str">
        <f t="shared" si="22"/>
        <v>T30</v>
      </c>
      <c r="P183" s="1" t="b">
        <f t="shared" si="23"/>
        <v>0</v>
      </c>
      <c r="R183" s="43" t="b">
        <v>0</v>
      </c>
      <c r="T183" s="79">
        <f t="shared" si="26"/>
        <v>-2.5</v>
      </c>
      <c r="U183" s="1" t="b">
        <f t="shared" si="24"/>
        <v>0</v>
      </c>
    </row>
    <row r="184" spans="1:22" x14ac:dyDescent="0.45">
      <c r="A184" s="42"/>
      <c r="B184" s="77" t="s">
        <v>172</v>
      </c>
      <c r="C184" s="77" t="s">
        <v>394</v>
      </c>
      <c r="D184" s="78">
        <v>2008</v>
      </c>
      <c r="E184" s="78">
        <v>2011</v>
      </c>
      <c r="F184" s="78">
        <v>2623</v>
      </c>
      <c r="G184" s="78">
        <v>140</v>
      </c>
      <c r="H184" s="78">
        <v>136</v>
      </c>
      <c r="I184" s="79">
        <f t="shared" si="18"/>
        <v>138.66666666666666</v>
      </c>
      <c r="J184" s="79">
        <f t="shared" si="19"/>
        <v>18.915865384615387</v>
      </c>
      <c r="K184" s="79">
        <f t="shared" si="20"/>
        <v>31.607572115384613</v>
      </c>
      <c r="L184" s="79">
        <v>55</v>
      </c>
      <c r="M184" s="79">
        <f t="shared" si="21"/>
        <v>-2.5</v>
      </c>
      <c r="N184" s="79">
        <f t="shared" si="25"/>
        <v>29.107572115384613</v>
      </c>
      <c r="O184" s="78" t="str">
        <f t="shared" si="22"/>
        <v>T30</v>
      </c>
      <c r="P184" s="1" t="b">
        <f t="shared" si="23"/>
        <v>0</v>
      </c>
      <c r="R184" s="43" t="b">
        <v>0</v>
      </c>
      <c r="T184" s="79">
        <f t="shared" si="26"/>
        <v>-2.5</v>
      </c>
      <c r="U184" s="1" t="b">
        <f t="shared" si="24"/>
        <v>0</v>
      </c>
    </row>
    <row r="185" spans="1:22" x14ac:dyDescent="0.45">
      <c r="A185" s="42"/>
      <c r="B185" s="89" t="s">
        <v>172</v>
      </c>
      <c r="C185" s="89" t="s">
        <v>564</v>
      </c>
      <c r="D185" s="84">
        <v>2012</v>
      </c>
      <c r="E185" s="84"/>
      <c r="F185" s="84">
        <v>3223</v>
      </c>
      <c r="G185" s="84">
        <v>252</v>
      </c>
      <c r="H185" s="84">
        <v>270</v>
      </c>
      <c r="I185" s="85">
        <f t="shared" si="18"/>
        <v>258</v>
      </c>
      <c r="J185" s="85">
        <f t="shared" si="19"/>
        <v>12.492248062015504</v>
      </c>
      <c r="K185" s="79">
        <f t="shared" si="20"/>
        <v>58.907945736434108</v>
      </c>
      <c r="L185" s="85">
        <v>70</v>
      </c>
      <c r="M185" s="79">
        <f t="shared" si="21"/>
        <v>5</v>
      </c>
      <c r="N185" s="85">
        <f t="shared" si="25"/>
        <v>63.907945736434108</v>
      </c>
      <c r="O185" s="78" t="str">
        <f t="shared" si="22"/>
        <v>T60</v>
      </c>
      <c r="P185" s="1" t="b">
        <f t="shared" si="23"/>
        <v>0</v>
      </c>
      <c r="R185" s="43" t="b">
        <v>0</v>
      </c>
      <c r="T185" s="79">
        <f t="shared" si="26"/>
        <v>5</v>
      </c>
      <c r="U185" s="1" t="b">
        <f t="shared" si="24"/>
        <v>0</v>
      </c>
      <c r="V185" s="46"/>
    </row>
    <row r="186" spans="1:22" x14ac:dyDescent="0.45">
      <c r="A186" s="42"/>
      <c r="B186" s="77" t="s">
        <v>172</v>
      </c>
      <c r="C186" s="77" t="s">
        <v>275</v>
      </c>
      <c r="D186" s="78">
        <v>2002</v>
      </c>
      <c r="E186" s="78">
        <v>2004</v>
      </c>
      <c r="F186" s="78">
        <v>2769</v>
      </c>
      <c r="G186" s="78">
        <v>170</v>
      </c>
      <c r="H186" s="78">
        <v>145</v>
      </c>
      <c r="I186" s="79">
        <f t="shared" si="18"/>
        <v>161.66666666666666</v>
      </c>
      <c r="J186" s="79">
        <f t="shared" si="19"/>
        <v>17.127835051546391</v>
      </c>
      <c r="K186" s="79">
        <f t="shared" si="20"/>
        <v>39.206701030927832</v>
      </c>
      <c r="L186" s="79">
        <v>55</v>
      </c>
      <c r="M186" s="79">
        <f t="shared" si="21"/>
        <v>-2.5</v>
      </c>
      <c r="N186" s="79">
        <f t="shared" si="25"/>
        <v>36.706701030927832</v>
      </c>
      <c r="O186" s="78" t="str">
        <f t="shared" si="22"/>
        <v>T30</v>
      </c>
      <c r="P186" s="1" t="b">
        <f t="shared" si="23"/>
        <v>0</v>
      </c>
      <c r="R186" s="43" t="b">
        <v>0</v>
      </c>
      <c r="T186" s="79">
        <f t="shared" si="26"/>
        <v>-2.5</v>
      </c>
      <c r="U186" s="1" t="b">
        <f t="shared" si="24"/>
        <v>0</v>
      </c>
    </row>
    <row r="187" spans="1:22" x14ac:dyDescent="0.45">
      <c r="A187" s="42"/>
      <c r="B187" s="77" t="s">
        <v>172</v>
      </c>
      <c r="C187" s="77" t="s">
        <v>395</v>
      </c>
      <c r="D187" s="78">
        <v>2000</v>
      </c>
      <c r="E187" s="78">
        <v>2004</v>
      </c>
      <c r="F187" s="78">
        <v>2551</v>
      </c>
      <c r="G187" s="78">
        <v>130</v>
      </c>
      <c r="H187" s="78">
        <v>135</v>
      </c>
      <c r="I187" s="79">
        <f t="shared" si="18"/>
        <v>131.66666666666666</v>
      </c>
      <c r="J187" s="79">
        <f t="shared" si="19"/>
        <v>19.374683544303799</v>
      </c>
      <c r="K187" s="79">
        <f t="shared" si="20"/>
        <v>29.657594936708847</v>
      </c>
      <c r="L187" s="79">
        <v>55</v>
      </c>
      <c r="M187" s="79">
        <f t="shared" si="21"/>
        <v>-2.5</v>
      </c>
      <c r="N187" s="79">
        <f t="shared" si="25"/>
        <v>27.157594936708847</v>
      </c>
      <c r="O187" s="78" t="str">
        <f t="shared" si="22"/>
        <v>T30</v>
      </c>
      <c r="P187" s="1" t="b">
        <f t="shared" si="23"/>
        <v>0</v>
      </c>
      <c r="R187" s="43" t="b">
        <v>0</v>
      </c>
      <c r="T187" s="79">
        <f t="shared" si="26"/>
        <v>-2.5</v>
      </c>
      <c r="U187" s="1" t="b">
        <f t="shared" si="24"/>
        <v>0</v>
      </c>
    </row>
    <row r="188" spans="1:22" x14ac:dyDescent="0.45">
      <c r="A188" s="42"/>
      <c r="B188" s="77" t="s">
        <v>172</v>
      </c>
      <c r="C188" s="77" t="s">
        <v>396</v>
      </c>
      <c r="D188" s="78">
        <v>2005</v>
      </c>
      <c r="E188" s="78">
        <v>2007</v>
      </c>
      <c r="F188" s="78">
        <v>2677</v>
      </c>
      <c r="G188" s="78">
        <v>136</v>
      </c>
      <c r="H188" s="78">
        <v>133</v>
      </c>
      <c r="I188" s="79">
        <f t="shared" si="18"/>
        <v>135</v>
      </c>
      <c r="J188" s="79">
        <f t="shared" si="19"/>
        <v>19.829629629629629</v>
      </c>
      <c r="K188" s="79">
        <f t="shared" si="20"/>
        <v>27.724074074074082</v>
      </c>
      <c r="L188" s="79">
        <v>55</v>
      </c>
      <c r="M188" s="79">
        <f t="shared" si="21"/>
        <v>-2.5</v>
      </c>
      <c r="N188" s="79">
        <f t="shared" si="25"/>
        <v>25.224074074074082</v>
      </c>
      <c r="O188" s="78" t="str">
        <f t="shared" si="22"/>
        <v>T30</v>
      </c>
      <c r="P188" s="1" t="b">
        <f t="shared" si="23"/>
        <v>0</v>
      </c>
      <c r="R188" s="43" t="b">
        <v>0</v>
      </c>
      <c r="T188" s="79">
        <f t="shared" si="26"/>
        <v>-2.5</v>
      </c>
      <c r="U188" s="1" t="b">
        <f t="shared" si="24"/>
        <v>0</v>
      </c>
    </row>
    <row r="189" spans="1:22" x14ac:dyDescent="0.45">
      <c r="A189" s="42"/>
      <c r="B189" s="77" t="s">
        <v>172</v>
      </c>
      <c r="C189" s="77" t="s">
        <v>397</v>
      </c>
      <c r="D189" s="78">
        <v>2005</v>
      </c>
      <c r="E189" s="78">
        <v>2007</v>
      </c>
      <c r="F189" s="78">
        <v>2677</v>
      </c>
      <c r="G189" s="78">
        <v>151</v>
      </c>
      <c r="H189" s="78">
        <v>154</v>
      </c>
      <c r="I189" s="79">
        <f t="shared" si="18"/>
        <v>152</v>
      </c>
      <c r="J189" s="79">
        <f t="shared" si="19"/>
        <v>17.611842105263158</v>
      </c>
      <c r="K189" s="79">
        <f t="shared" si="20"/>
        <v>37.149671052631575</v>
      </c>
      <c r="L189" s="79">
        <v>60</v>
      </c>
      <c r="M189" s="79">
        <f t="shared" si="21"/>
        <v>0</v>
      </c>
      <c r="N189" s="79">
        <f t="shared" si="25"/>
        <v>37.149671052631575</v>
      </c>
      <c r="O189" s="78" t="str">
        <f t="shared" si="22"/>
        <v>T30</v>
      </c>
      <c r="P189" s="1" t="b">
        <f t="shared" si="23"/>
        <v>0</v>
      </c>
      <c r="R189" s="43" t="b">
        <v>0</v>
      </c>
      <c r="T189" s="79">
        <f t="shared" si="26"/>
        <v>0</v>
      </c>
      <c r="U189" s="1" t="b">
        <f t="shared" si="24"/>
        <v>0</v>
      </c>
    </row>
    <row r="190" spans="1:22" x14ac:dyDescent="0.45">
      <c r="A190" s="42"/>
      <c r="B190" s="77" t="s">
        <v>172</v>
      </c>
      <c r="C190" s="77" t="s">
        <v>398</v>
      </c>
      <c r="D190" s="78">
        <v>2005</v>
      </c>
      <c r="E190" s="78">
        <v>2006</v>
      </c>
      <c r="F190" s="78">
        <v>3351</v>
      </c>
      <c r="G190" s="78">
        <v>550</v>
      </c>
      <c r="H190" s="78">
        <v>500</v>
      </c>
      <c r="I190" s="79">
        <f t="shared" si="18"/>
        <v>533.33333333333326</v>
      </c>
      <c r="J190" s="79">
        <f t="shared" si="19"/>
        <v>6.283125000000001</v>
      </c>
      <c r="K190" s="79">
        <f t="shared" si="20"/>
        <v>85.296718749999997</v>
      </c>
      <c r="L190" s="79">
        <v>85</v>
      </c>
      <c r="M190" s="79">
        <f t="shared" si="21"/>
        <v>12.5</v>
      </c>
      <c r="N190" s="79">
        <f t="shared" si="25"/>
        <v>97.796718749999997</v>
      </c>
      <c r="O190" s="78" t="str">
        <f t="shared" si="22"/>
        <v>T90</v>
      </c>
      <c r="P190" s="1" t="b">
        <f t="shared" si="23"/>
        <v>0</v>
      </c>
      <c r="R190" s="43" t="b">
        <v>0</v>
      </c>
      <c r="T190" s="79">
        <f t="shared" si="26"/>
        <v>12.5</v>
      </c>
      <c r="U190" s="1" t="b">
        <f t="shared" si="24"/>
        <v>0</v>
      </c>
    </row>
    <row r="191" spans="1:22" x14ac:dyDescent="0.45">
      <c r="A191" s="42"/>
      <c r="B191" s="77" t="s">
        <v>172</v>
      </c>
      <c r="C191" s="77" t="s">
        <v>173</v>
      </c>
      <c r="D191" s="78">
        <v>1964</v>
      </c>
      <c r="E191" s="78">
        <v>1965</v>
      </c>
      <c r="F191" s="78">
        <v>2562</v>
      </c>
      <c r="G191" s="78">
        <v>271</v>
      </c>
      <c r="H191" s="78">
        <v>312</v>
      </c>
      <c r="I191" s="79">
        <f t="shared" si="18"/>
        <v>284.66666666666663</v>
      </c>
      <c r="J191" s="79">
        <f t="shared" si="19"/>
        <v>9.0000000000000018</v>
      </c>
      <c r="K191" s="79">
        <f t="shared" si="20"/>
        <v>73.75</v>
      </c>
      <c r="L191" s="79">
        <v>10</v>
      </c>
      <c r="M191" s="79">
        <f t="shared" si="21"/>
        <v>-25</v>
      </c>
      <c r="N191" s="79">
        <f t="shared" si="25"/>
        <v>48.75</v>
      </c>
      <c r="O191" s="78" t="str">
        <f t="shared" si="22"/>
        <v>T40</v>
      </c>
      <c r="P191" s="1" t="b">
        <f t="shared" si="23"/>
        <v>0</v>
      </c>
      <c r="R191" s="43" t="b">
        <v>0</v>
      </c>
      <c r="T191" s="79">
        <f t="shared" si="26"/>
        <v>-25</v>
      </c>
      <c r="U191" s="1" t="b">
        <f t="shared" si="24"/>
        <v>0</v>
      </c>
    </row>
    <row r="192" spans="1:22" x14ac:dyDescent="0.45">
      <c r="A192" s="42"/>
      <c r="B192" s="77" t="s">
        <v>172</v>
      </c>
      <c r="C192" s="77" t="s">
        <v>174</v>
      </c>
      <c r="D192" s="78">
        <v>2012</v>
      </c>
      <c r="E192" s="78">
        <v>2013</v>
      </c>
      <c r="F192" s="78">
        <v>3632</v>
      </c>
      <c r="G192" s="78">
        <v>444</v>
      </c>
      <c r="H192" s="78">
        <v>380</v>
      </c>
      <c r="I192" s="79">
        <f t="shared" si="18"/>
        <v>422.66666666666663</v>
      </c>
      <c r="J192" s="79">
        <f t="shared" si="19"/>
        <v>8.593059936908519</v>
      </c>
      <c r="K192" s="79">
        <f t="shared" si="20"/>
        <v>75.479495268138791</v>
      </c>
      <c r="L192" s="79">
        <v>70</v>
      </c>
      <c r="M192" s="79">
        <f t="shared" si="21"/>
        <v>5</v>
      </c>
      <c r="N192" s="79">
        <f t="shared" si="25"/>
        <v>80.479495268138791</v>
      </c>
      <c r="O192" s="78" t="str">
        <f t="shared" si="22"/>
        <v>T80</v>
      </c>
      <c r="P192" s="1" t="b">
        <f t="shared" si="23"/>
        <v>0</v>
      </c>
      <c r="R192" s="43" t="b">
        <v>0</v>
      </c>
      <c r="T192" s="79">
        <f t="shared" si="26"/>
        <v>5</v>
      </c>
      <c r="U192" s="1" t="b">
        <f t="shared" si="24"/>
        <v>0</v>
      </c>
    </row>
    <row r="193" spans="1:22" x14ac:dyDescent="0.45">
      <c r="A193" s="42"/>
      <c r="B193" s="77" t="s">
        <v>172</v>
      </c>
      <c r="C193" s="77" t="s">
        <v>329</v>
      </c>
      <c r="D193" s="78">
        <v>1969</v>
      </c>
      <c r="E193" s="78">
        <v>1970</v>
      </c>
      <c r="F193" s="78">
        <v>3384</v>
      </c>
      <c r="G193" s="78">
        <v>290</v>
      </c>
      <c r="H193" s="78">
        <v>290</v>
      </c>
      <c r="I193" s="79">
        <f t="shared" si="18"/>
        <v>290</v>
      </c>
      <c r="J193" s="79">
        <f t="shared" si="19"/>
        <v>11.668965517241379</v>
      </c>
      <c r="K193" s="79">
        <f t="shared" si="20"/>
        <v>62.406896551724138</v>
      </c>
      <c r="L193" s="79">
        <v>15</v>
      </c>
      <c r="M193" s="79">
        <f t="shared" si="21"/>
        <v>-22.5</v>
      </c>
      <c r="N193" s="79">
        <f t="shared" si="25"/>
        <v>39.906896551724138</v>
      </c>
      <c r="O193" s="78" t="str">
        <f t="shared" si="22"/>
        <v>T30</v>
      </c>
      <c r="P193" s="1" t="b">
        <f t="shared" si="23"/>
        <v>0</v>
      </c>
      <c r="R193" s="43" t="b">
        <v>0</v>
      </c>
      <c r="T193" s="79">
        <f t="shared" si="26"/>
        <v>-22.5</v>
      </c>
      <c r="U193" s="1" t="b">
        <f t="shared" si="24"/>
        <v>0</v>
      </c>
    </row>
    <row r="194" spans="1:22" x14ac:dyDescent="0.45">
      <c r="A194" s="42"/>
      <c r="B194" s="77" t="s">
        <v>172</v>
      </c>
      <c r="C194" s="77" t="s">
        <v>280</v>
      </c>
      <c r="D194" s="78">
        <v>1996</v>
      </c>
      <c r="E194" s="78">
        <v>1998</v>
      </c>
      <c r="F194" s="78">
        <v>3404</v>
      </c>
      <c r="G194" s="78">
        <v>305</v>
      </c>
      <c r="H194" s="78">
        <v>300</v>
      </c>
      <c r="I194" s="79">
        <f t="shared" si="18"/>
        <v>303.33333333333331</v>
      </c>
      <c r="J194" s="79">
        <f t="shared" si="19"/>
        <v>11.221978021978023</v>
      </c>
      <c r="K194" s="79">
        <f t="shared" si="20"/>
        <v>64.306593406593407</v>
      </c>
      <c r="L194" s="79">
        <v>50</v>
      </c>
      <c r="M194" s="79">
        <f t="shared" si="21"/>
        <v>-5</v>
      </c>
      <c r="N194" s="79">
        <f t="shared" si="25"/>
        <v>59.306593406593407</v>
      </c>
      <c r="O194" s="78" t="str">
        <f t="shared" si="22"/>
        <v>T50</v>
      </c>
      <c r="P194" s="1" t="b">
        <f t="shared" si="23"/>
        <v>0</v>
      </c>
      <c r="R194" s="43" t="b">
        <v>0</v>
      </c>
      <c r="T194" s="79">
        <f t="shared" si="26"/>
        <v>-5</v>
      </c>
      <c r="U194" s="1" t="b">
        <f t="shared" si="24"/>
        <v>0</v>
      </c>
    </row>
    <row r="195" spans="1:22" x14ac:dyDescent="0.45">
      <c r="A195" s="42"/>
      <c r="B195" s="77" t="s">
        <v>172</v>
      </c>
      <c r="C195" s="77" t="s">
        <v>280</v>
      </c>
      <c r="D195" s="78">
        <v>1999</v>
      </c>
      <c r="E195" s="78">
        <v>2001</v>
      </c>
      <c r="F195" s="78">
        <v>3430</v>
      </c>
      <c r="G195" s="78">
        <v>320</v>
      </c>
      <c r="H195" s="78">
        <v>317</v>
      </c>
      <c r="I195" s="79">
        <f t="shared" si="18"/>
        <v>319</v>
      </c>
      <c r="J195" s="79">
        <f t="shared" si="19"/>
        <v>10.752351097178684</v>
      </c>
      <c r="K195" s="79">
        <f t="shared" si="20"/>
        <v>66.3025078369906</v>
      </c>
      <c r="L195" s="79">
        <v>60</v>
      </c>
      <c r="M195" s="79">
        <f t="shared" si="21"/>
        <v>0</v>
      </c>
      <c r="N195" s="79">
        <f t="shared" si="25"/>
        <v>66.3025078369906</v>
      </c>
      <c r="O195" s="78" t="str">
        <f t="shared" si="22"/>
        <v>T60</v>
      </c>
      <c r="P195" s="1" t="b">
        <f t="shared" si="23"/>
        <v>0</v>
      </c>
      <c r="R195" s="43" t="b">
        <v>0</v>
      </c>
      <c r="T195" s="79">
        <f t="shared" si="26"/>
        <v>0</v>
      </c>
      <c r="U195" s="1" t="b">
        <f t="shared" si="24"/>
        <v>0</v>
      </c>
    </row>
    <row r="196" spans="1:22" x14ac:dyDescent="0.45">
      <c r="A196" s="42"/>
      <c r="B196" s="77" t="s">
        <v>172</v>
      </c>
      <c r="C196" s="77" t="s">
        <v>280</v>
      </c>
      <c r="D196" s="78">
        <v>2003</v>
      </c>
      <c r="E196" s="78">
        <v>2004</v>
      </c>
      <c r="F196" s="78">
        <v>3665</v>
      </c>
      <c r="G196" s="78">
        <v>390</v>
      </c>
      <c r="H196" s="78">
        <v>390</v>
      </c>
      <c r="I196" s="79">
        <f t="shared" si="18"/>
        <v>390</v>
      </c>
      <c r="J196" s="79">
        <f t="shared" si="19"/>
        <v>9.3974358974358978</v>
      </c>
      <c r="K196" s="79">
        <f t="shared" si="20"/>
        <v>72.060897435897431</v>
      </c>
      <c r="L196" s="79">
        <v>60</v>
      </c>
      <c r="M196" s="79">
        <f t="shared" si="21"/>
        <v>0</v>
      </c>
      <c r="N196" s="79">
        <f t="shared" si="25"/>
        <v>72.060897435897431</v>
      </c>
      <c r="O196" s="78" t="str">
        <f t="shared" si="22"/>
        <v>T70</v>
      </c>
      <c r="P196" s="1" t="b">
        <f t="shared" si="23"/>
        <v>0</v>
      </c>
      <c r="R196" s="43" t="b">
        <v>0</v>
      </c>
      <c r="T196" s="79">
        <f t="shared" si="26"/>
        <v>0</v>
      </c>
      <c r="U196" s="1" t="b">
        <f t="shared" si="24"/>
        <v>0</v>
      </c>
    </row>
    <row r="197" spans="1:22" x14ac:dyDescent="0.45">
      <c r="A197" s="42"/>
      <c r="B197" s="77" t="s">
        <v>172</v>
      </c>
      <c r="C197" s="77" t="s">
        <v>279</v>
      </c>
      <c r="D197" s="78">
        <v>1994</v>
      </c>
      <c r="E197" s="78">
        <v>1995</v>
      </c>
      <c r="F197" s="78">
        <v>3524</v>
      </c>
      <c r="G197" s="78">
        <v>240</v>
      </c>
      <c r="H197" s="78">
        <v>285</v>
      </c>
      <c r="I197" s="79">
        <f t="shared" si="18"/>
        <v>255</v>
      </c>
      <c r="J197" s="79">
        <f t="shared" si="19"/>
        <v>13.819607843137256</v>
      </c>
      <c r="K197" s="79">
        <f t="shared" si="20"/>
        <v>53.266666666666666</v>
      </c>
      <c r="L197" s="79">
        <v>50</v>
      </c>
      <c r="M197" s="79">
        <f t="shared" si="21"/>
        <v>-5</v>
      </c>
      <c r="N197" s="79">
        <f t="shared" si="25"/>
        <v>48.266666666666666</v>
      </c>
      <c r="O197" s="78" t="str">
        <f t="shared" si="22"/>
        <v>T40</v>
      </c>
      <c r="P197" s="1" t="b">
        <f t="shared" si="23"/>
        <v>0</v>
      </c>
      <c r="R197" s="43" t="b">
        <v>0</v>
      </c>
      <c r="T197" s="79">
        <f t="shared" si="26"/>
        <v>-5</v>
      </c>
      <c r="U197" s="1" t="b">
        <f t="shared" si="24"/>
        <v>0</v>
      </c>
    </row>
    <row r="198" spans="1:22" x14ac:dyDescent="0.45">
      <c r="A198" s="42"/>
      <c r="B198" s="77" t="s">
        <v>172</v>
      </c>
      <c r="C198" s="77" t="s">
        <v>278</v>
      </c>
      <c r="D198" s="78">
        <v>1995</v>
      </c>
      <c r="E198" s="78">
        <v>1995</v>
      </c>
      <c r="F198" s="78">
        <v>3354</v>
      </c>
      <c r="G198" s="78">
        <v>280</v>
      </c>
      <c r="H198" s="78">
        <v>343</v>
      </c>
      <c r="I198" s="79">
        <f t="shared" si="18"/>
        <v>301</v>
      </c>
      <c r="J198" s="79">
        <f t="shared" si="19"/>
        <v>11.142857142857142</v>
      </c>
      <c r="K198" s="79">
        <f t="shared" si="20"/>
        <v>64.642857142857139</v>
      </c>
      <c r="L198" s="79">
        <v>50</v>
      </c>
      <c r="M198" s="79">
        <f t="shared" si="21"/>
        <v>-5</v>
      </c>
      <c r="N198" s="79">
        <f t="shared" si="25"/>
        <v>59.642857142857139</v>
      </c>
      <c r="O198" s="78" t="str">
        <f t="shared" si="22"/>
        <v>T50</v>
      </c>
      <c r="P198" s="1" t="b">
        <f t="shared" si="23"/>
        <v>0</v>
      </c>
      <c r="R198" s="43" t="b">
        <v>0</v>
      </c>
      <c r="T198" s="79">
        <f t="shared" si="26"/>
        <v>-5</v>
      </c>
      <c r="U198" s="1" t="b">
        <f t="shared" si="24"/>
        <v>0</v>
      </c>
    </row>
    <row r="199" spans="1:22" x14ac:dyDescent="0.45">
      <c r="A199" s="42"/>
      <c r="B199" s="77" t="s">
        <v>172</v>
      </c>
      <c r="C199" s="77" t="s">
        <v>278</v>
      </c>
      <c r="D199" s="78">
        <v>2000</v>
      </c>
      <c r="E199" s="78">
        <v>2000</v>
      </c>
      <c r="F199" s="78">
        <v>3589</v>
      </c>
      <c r="G199" s="78">
        <v>385</v>
      </c>
      <c r="H199" s="78">
        <v>385</v>
      </c>
      <c r="I199" s="79">
        <f t="shared" si="18"/>
        <v>384.99999999999994</v>
      </c>
      <c r="J199" s="79">
        <f t="shared" si="19"/>
        <v>9.3220779220779235</v>
      </c>
      <c r="K199" s="79">
        <f t="shared" si="20"/>
        <v>72.381168831168821</v>
      </c>
      <c r="L199" s="79">
        <v>60</v>
      </c>
      <c r="M199" s="79">
        <f t="shared" si="21"/>
        <v>0</v>
      </c>
      <c r="N199" s="79">
        <f t="shared" si="25"/>
        <v>72.381168831168821</v>
      </c>
      <c r="O199" s="78" t="str">
        <f t="shared" si="22"/>
        <v>T70</v>
      </c>
      <c r="P199" s="1" t="b">
        <f t="shared" si="23"/>
        <v>0</v>
      </c>
      <c r="R199" s="43" t="b">
        <v>0</v>
      </c>
      <c r="T199" s="79">
        <f t="shared" si="26"/>
        <v>0</v>
      </c>
      <c r="U199" s="1" t="b">
        <f t="shared" si="24"/>
        <v>0</v>
      </c>
    </row>
    <row r="200" spans="1:22" x14ac:dyDescent="0.45">
      <c r="A200" s="42"/>
      <c r="B200" s="77" t="s">
        <v>172</v>
      </c>
      <c r="C200" s="77" t="s">
        <v>175</v>
      </c>
      <c r="D200" s="78">
        <v>1994</v>
      </c>
      <c r="E200" s="78">
        <v>1995</v>
      </c>
      <c r="F200" s="78">
        <v>3276</v>
      </c>
      <c r="G200" s="78">
        <v>215</v>
      </c>
      <c r="H200" s="78">
        <v>285</v>
      </c>
      <c r="I200" s="79">
        <f t="shared" si="18"/>
        <v>238.33333333333331</v>
      </c>
      <c r="J200" s="79">
        <f t="shared" si="19"/>
        <v>13.745454545454546</v>
      </c>
      <c r="K200" s="79">
        <f t="shared" si="20"/>
        <v>53.581818181818178</v>
      </c>
      <c r="L200" s="79">
        <v>45</v>
      </c>
      <c r="M200" s="79">
        <f t="shared" si="21"/>
        <v>-7.5</v>
      </c>
      <c r="N200" s="79">
        <f t="shared" si="25"/>
        <v>46.081818181818178</v>
      </c>
      <c r="O200" s="78" t="str">
        <f t="shared" si="22"/>
        <v>T40</v>
      </c>
      <c r="P200" s="1" t="b">
        <f t="shared" si="23"/>
        <v>0</v>
      </c>
      <c r="R200" s="43" t="b">
        <v>0</v>
      </c>
      <c r="T200" s="79">
        <f t="shared" si="26"/>
        <v>-7.5</v>
      </c>
      <c r="U200" s="1" t="b">
        <f t="shared" si="24"/>
        <v>0</v>
      </c>
    </row>
    <row r="201" spans="1:22" x14ac:dyDescent="0.45">
      <c r="A201" s="42"/>
      <c r="B201" s="77" t="s">
        <v>172</v>
      </c>
      <c r="C201" s="77" t="s">
        <v>175</v>
      </c>
      <c r="D201" s="78">
        <v>1996</v>
      </c>
      <c r="E201" s="78">
        <v>1997</v>
      </c>
      <c r="F201" s="78">
        <v>3277</v>
      </c>
      <c r="G201" s="78">
        <v>215</v>
      </c>
      <c r="H201" s="78">
        <v>285</v>
      </c>
      <c r="I201" s="79">
        <f t="shared" si="18"/>
        <v>238.33333333333331</v>
      </c>
      <c r="J201" s="79">
        <f t="shared" si="19"/>
        <v>13.74965034965035</v>
      </c>
      <c r="K201" s="79">
        <f t="shared" si="20"/>
        <v>53.56398601398601</v>
      </c>
      <c r="L201" s="79">
        <v>45</v>
      </c>
      <c r="M201" s="79">
        <f t="shared" si="21"/>
        <v>-7.5</v>
      </c>
      <c r="N201" s="79">
        <f t="shared" si="25"/>
        <v>46.06398601398601</v>
      </c>
      <c r="O201" s="78" t="str">
        <f t="shared" si="22"/>
        <v>T40</v>
      </c>
      <c r="P201" s="1" t="b">
        <f t="shared" si="23"/>
        <v>0</v>
      </c>
      <c r="R201" s="43" t="b">
        <v>0</v>
      </c>
      <c r="T201" s="79">
        <f t="shared" si="26"/>
        <v>-7.5</v>
      </c>
      <c r="U201" s="1" t="b">
        <f t="shared" si="24"/>
        <v>0</v>
      </c>
    </row>
    <row r="202" spans="1:22" x14ac:dyDescent="0.45">
      <c r="A202" s="42"/>
      <c r="B202" s="77" t="s">
        <v>172</v>
      </c>
      <c r="C202" s="77" t="s">
        <v>175</v>
      </c>
      <c r="D202" s="78">
        <v>1998</v>
      </c>
      <c r="E202" s="78">
        <v>2004</v>
      </c>
      <c r="F202" s="78">
        <v>3324</v>
      </c>
      <c r="G202" s="78">
        <v>260</v>
      </c>
      <c r="H202" s="78">
        <v>302</v>
      </c>
      <c r="I202" s="79">
        <f t="shared" si="18"/>
        <v>274</v>
      </c>
      <c r="J202" s="79">
        <f t="shared" si="19"/>
        <v>12.131386861313869</v>
      </c>
      <c r="K202" s="79">
        <f t="shared" si="20"/>
        <v>60.441605839416056</v>
      </c>
      <c r="L202" s="79">
        <v>50</v>
      </c>
      <c r="M202" s="79">
        <f t="shared" si="21"/>
        <v>-5</v>
      </c>
      <c r="N202" s="79">
        <f t="shared" si="25"/>
        <v>55.441605839416056</v>
      </c>
      <c r="O202" s="78" t="str">
        <f t="shared" si="22"/>
        <v>T50</v>
      </c>
      <c r="P202" s="1" t="b">
        <f t="shared" si="23"/>
        <v>0</v>
      </c>
      <c r="R202" s="43" t="b">
        <v>0</v>
      </c>
      <c r="T202" s="79">
        <f t="shared" si="26"/>
        <v>-5</v>
      </c>
      <c r="U202" s="1" t="b">
        <f t="shared" si="24"/>
        <v>0</v>
      </c>
    </row>
    <row r="203" spans="1:22" x14ac:dyDescent="0.45">
      <c r="A203" s="42"/>
      <c r="B203" s="77" t="s">
        <v>172</v>
      </c>
      <c r="C203" s="77" t="s">
        <v>175</v>
      </c>
      <c r="D203" s="78">
        <v>2005</v>
      </c>
      <c r="E203" s="78">
        <v>2009</v>
      </c>
      <c r="F203" s="78">
        <v>3555</v>
      </c>
      <c r="G203" s="78">
        <v>300</v>
      </c>
      <c r="H203" s="78">
        <v>320</v>
      </c>
      <c r="I203" s="79">
        <f t="shared" si="18"/>
        <v>306.66666666666663</v>
      </c>
      <c r="J203" s="79">
        <f t="shared" si="19"/>
        <v>11.592391304347828</v>
      </c>
      <c r="K203" s="79">
        <f t="shared" si="20"/>
        <v>62.732336956521735</v>
      </c>
      <c r="L203" s="79">
        <v>60</v>
      </c>
      <c r="M203" s="79">
        <f t="shared" si="21"/>
        <v>0</v>
      </c>
      <c r="N203" s="79">
        <f t="shared" si="25"/>
        <v>62.732336956521735</v>
      </c>
      <c r="O203" s="78" t="str">
        <f t="shared" si="22"/>
        <v>T60</v>
      </c>
      <c r="P203" s="1" t="b">
        <f t="shared" si="23"/>
        <v>0</v>
      </c>
      <c r="R203" s="43" t="b">
        <v>0</v>
      </c>
      <c r="T203" s="79">
        <f t="shared" si="26"/>
        <v>0</v>
      </c>
      <c r="U203" s="1" t="b">
        <f t="shared" si="24"/>
        <v>0</v>
      </c>
      <c r="V203" s="46"/>
    </row>
    <row r="204" spans="1:22" x14ac:dyDescent="0.45">
      <c r="A204" s="42"/>
      <c r="B204" s="77" t="s">
        <v>172</v>
      </c>
      <c r="C204" s="77" t="s">
        <v>175</v>
      </c>
      <c r="D204" s="78">
        <v>2010</v>
      </c>
      <c r="E204" s="78">
        <v>2010</v>
      </c>
      <c r="F204" s="78">
        <v>3533</v>
      </c>
      <c r="G204" s="78">
        <v>315</v>
      </c>
      <c r="H204" s="78">
        <v>325</v>
      </c>
      <c r="I204" s="79">
        <f t="shared" ref="I204:I267" si="27">G204*(2/3)+H204*(1/3)</f>
        <v>318.33333333333331</v>
      </c>
      <c r="J204" s="79">
        <f t="shared" ref="J204:J267" si="28">F204/I204</f>
        <v>11.098429319371728</v>
      </c>
      <c r="K204" s="79">
        <f t="shared" ref="K204:K267" si="29">J204*-4.25+112</f>
        <v>64.831675392670149</v>
      </c>
      <c r="L204" s="79">
        <v>60</v>
      </c>
      <c r="M204" s="79">
        <f t="shared" ref="M204:M267" si="30">(L204-60)/3*1.5</f>
        <v>0</v>
      </c>
      <c r="N204" s="79">
        <f t="shared" si="25"/>
        <v>64.831675392670149</v>
      </c>
      <c r="O204" s="78" t="str">
        <f t="shared" ref="O204:O267" si="31">INDEX(Base_Classes, MATCH($N204, Base_Assessments, 1)+1)</f>
        <v>T60</v>
      </c>
      <c r="P204" s="1" t="b">
        <f t="shared" ref="P204:P267" si="32">OR(R204,A204)</f>
        <v>0</v>
      </c>
      <c r="R204" s="43" t="b">
        <v>0</v>
      </c>
      <c r="T204" s="79">
        <f t="shared" si="26"/>
        <v>0</v>
      </c>
      <c r="U204" s="1" t="b">
        <f t="shared" ref="U204:U267" si="33">AND(P204,$S$9)</f>
        <v>0</v>
      </c>
      <c r="V204" s="46"/>
    </row>
    <row r="205" spans="1:22" x14ac:dyDescent="0.45">
      <c r="A205" s="42"/>
      <c r="B205" s="77" t="s">
        <v>172</v>
      </c>
      <c r="C205" s="77" t="s">
        <v>175</v>
      </c>
      <c r="D205" s="78">
        <v>2011</v>
      </c>
      <c r="E205" s="78">
        <v>2014</v>
      </c>
      <c r="F205" s="78">
        <v>3543</v>
      </c>
      <c r="G205" s="78">
        <v>412</v>
      </c>
      <c r="H205" s="78">
        <v>390</v>
      </c>
      <c r="I205" s="79">
        <f t="shared" si="27"/>
        <v>404.66666666666663</v>
      </c>
      <c r="J205" s="79">
        <f t="shared" si="28"/>
        <v>8.7553542009884691</v>
      </c>
      <c r="K205" s="79">
        <f t="shared" si="29"/>
        <v>74.789744645799004</v>
      </c>
      <c r="L205" s="79">
        <v>60</v>
      </c>
      <c r="M205" s="79">
        <f t="shared" si="30"/>
        <v>0</v>
      </c>
      <c r="N205" s="79">
        <f t="shared" ref="N205:N268" si="34">M205+K205</f>
        <v>74.789744645799004</v>
      </c>
      <c r="O205" s="78" t="str">
        <f t="shared" si="31"/>
        <v>T70</v>
      </c>
      <c r="P205" s="1" t="b">
        <f t="shared" si="32"/>
        <v>0</v>
      </c>
      <c r="R205" s="43" t="b">
        <v>0</v>
      </c>
      <c r="T205" s="79">
        <f t="shared" ref="T205:T268" si="35">(L205-60)/3*1.5</f>
        <v>0</v>
      </c>
      <c r="U205" s="1" t="b">
        <f t="shared" si="33"/>
        <v>0</v>
      </c>
    </row>
    <row r="206" spans="1:22" x14ac:dyDescent="0.45">
      <c r="A206" s="42"/>
      <c r="B206" s="77" t="s">
        <v>172</v>
      </c>
      <c r="C206" s="77" t="s">
        <v>175</v>
      </c>
      <c r="D206" s="78">
        <v>2015</v>
      </c>
      <c r="E206" s="78">
        <v>2017</v>
      </c>
      <c r="F206" s="78">
        <v>3705</v>
      </c>
      <c r="G206" s="78">
        <v>435</v>
      </c>
      <c r="H206" s="78">
        <v>400</v>
      </c>
      <c r="I206" s="79">
        <f t="shared" si="27"/>
        <v>423.33333333333331</v>
      </c>
      <c r="J206" s="79">
        <f t="shared" si="28"/>
        <v>8.7519685039370074</v>
      </c>
      <c r="K206" s="79">
        <f t="shared" si="29"/>
        <v>74.804133858267718</v>
      </c>
      <c r="L206" s="79">
        <v>75</v>
      </c>
      <c r="M206" s="79">
        <f t="shared" si="30"/>
        <v>7.5</v>
      </c>
      <c r="N206" s="79">
        <f t="shared" si="34"/>
        <v>82.304133858267718</v>
      </c>
      <c r="O206" s="78" t="str">
        <f t="shared" si="31"/>
        <v>T80</v>
      </c>
      <c r="P206" s="1" t="b">
        <f t="shared" si="32"/>
        <v>0</v>
      </c>
      <c r="R206" s="43" t="b">
        <v>0</v>
      </c>
      <c r="T206" s="79">
        <f t="shared" si="35"/>
        <v>7.5</v>
      </c>
      <c r="U206" s="1" t="b">
        <f t="shared" si="33"/>
        <v>0</v>
      </c>
    </row>
    <row r="207" spans="1:22" x14ac:dyDescent="0.45">
      <c r="A207" s="42"/>
      <c r="B207" s="90" t="s">
        <v>172</v>
      </c>
      <c r="C207" s="90" t="s">
        <v>175</v>
      </c>
      <c r="D207" s="92">
        <v>2018</v>
      </c>
      <c r="E207" s="92"/>
      <c r="F207" s="92">
        <v>3705</v>
      </c>
      <c r="G207" s="92">
        <v>460</v>
      </c>
      <c r="H207" s="92">
        <v>420</v>
      </c>
      <c r="I207" s="121">
        <f t="shared" si="27"/>
        <v>446.66666666666663</v>
      </c>
      <c r="J207" s="121">
        <f t="shared" si="28"/>
        <v>8.2947761194029859</v>
      </c>
      <c r="K207" s="79">
        <f t="shared" si="29"/>
        <v>76.7472014925373</v>
      </c>
      <c r="L207" s="93">
        <v>75</v>
      </c>
      <c r="M207" s="79">
        <f t="shared" si="30"/>
        <v>7.5</v>
      </c>
      <c r="N207" s="79">
        <f t="shared" si="34"/>
        <v>84.2472014925373</v>
      </c>
      <c r="O207" s="78" t="str">
        <f t="shared" si="31"/>
        <v>T80</v>
      </c>
      <c r="P207" s="1" t="b">
        <f t="shared" si="32"/>
        <v>0</v>
      </c>
      <c r="R207" s="43" t="b">
        <v>0</v>
      </c>
      <c r="T207" s="79">
        <f t="shared" si="35"/>
        <v>7.5</v>
      </c>
      <c r="U207" s="1" t="b">
        <f t="shared" si="33"/>
        <v>0</v>
      </c>
    </row>
    <row r="208" spans="1:22" x14ac:dyDescent="0.45">
      <c r="A208" s="42"/>
      <c r="B208" s="77" t="s">
        <v>172</v>
      </c>
      <c r="C208" s="77" t="s">
        <v>399</v>
      </c>
      <c r="D208" s="78">
        <v>2000</v>
      </c>
      <c r="E208" s="78">
        <v>2001</v>
      </c>
      <c r="F208" s="78">
        <v>3506</v>
      </c>
      <c r="G208" s="78">
        <v>360</v>
      </c>
      <c r="H208" s="78">
        <v>375</v>
      </c>
      <c r="I208" s="79">
        <f t="shared" si="27"/>
        <v>365</v>
      </c>
      <c r="J208" s="79">
        <f t="shared" si="28"/>
        <v>9.6054794520547944</v>
      </c>
      <c r="K208" s="79">
        <f t="shared" si="29"/>
        <v>71.176712328767124</v>
      </c>
      <c r="L208" s="79">
        <v>60</v>
      </c>
      <c r="M208" s="79">
        <f t="shared" si="30"/>
        <v>0</v>
      </c>
      <c r="N208" s="79">
        <f t="shared" si="34"/>
        <v>71.176712328767124</v>
      </c>
      <c r="O208" s="78" t="str">
        <f t="shared" si="31"/>
        <v>T70</v>
      </c>
      <c r="P208" s="1" t="b">
        <f t="shared" si="32"/>
        <v>0</v>
      </c>
      <c r="R208" s="43" t="b">
        <v>0</v>
      </c>
      <c r="T208" s="79">
        <f t="shared" si="35"/>
        <v>0</v>
      </c>
      <c r="U208" s="1" t="b">
        <f t="shared" si="33"/>
        <v>0</v>
      </c>
    </row>
    <row r="209" spans="1:22" x14ac:dyDescent="0.45">
      <c r="A209" s="42"/>
      <c r="B209" s="77" t="s">
        <v>172</v>
      </c>
      <c r="C209" s="77" t="s">
        <v>645</v>
      </c>
      <c r="D209" s="78">
        <v>2018</v>
      </c>
      <c r="E209" s="78"/>
      <c r="F209" s="92">
        <v>3705</v>
      </c>
      <c r="G209" s="92">
        <v>460</v>
      </c>
      <c r="H209" s="92">
        <v>420</v>
      </c>
      <c r="I209" s="79">
        <f t="shared" si="27"/>
        <v>446.66666666666663</v>
      </c>
      <c r="J209" s="79">
        <f t="shared" si="28"/>
        <v>8.2947761194029859</v>
      </c>
      <c r="K209" s="79">
        <f t="shared" si="29"/>
        <v>76.7472014925373</v>
      </c>
      <c r="L209" s="79">
        <v>80</v>
      </c>
      <c r="M209" s="79">
        <f t="shared" si="30"/>
        <v>10</v>
      </c>
      <c r="N209" s="79">
        <f t="shared" si="34"/>
        <v>86.7472014925373</v>
      </c>
      <c r="O209" s="78" t="str">
        <f t="shared" si="31"/>
        <v>T80</v>
      </c>
      <c r="P209" s="1" t="b">
        <f t="shared" si="32"/>
        <v>0</v>
      </c>
      <c r="R209" s="43" t="b">
        <v>0</v>
      </c>
      <c r="T209" s="79">
        <f t="shared" si="35"/>
        <v>10</v>
      </c>
      <c r="U209" s="1" t="b">
        <f t="shared" si="33"/>
        <v>0</v>
      </c>
    </row>
    <row r="210" spans="1:22" x14ac:dyDescent="0.45">
      <c r="A210" s="42"/>
      <c r="B210" s="77" t="s">
        <v>172</v>
      </c>
      <c r="C210" s="77" t="s">
        <v>646</v>
      </c>
      <c r="D210" s="78">
        <v>2018</v>
      </c>
      <c r="E210" s="78"/>
      <c r="F210" s="92">
        <v>3705</v>
      </c>
      <c r="G210" s="92">
        <v>460</v>
      </c>
      <c r="H210" s="92">
        <v>420</v>
      </c>
      <c r="I210" s="79">
        <f t="shared" si="27"/>
        <v>446.66666666666663</v>
      </c>
      <c r="J210" s="79">
        <f t="shared" si="28"/>
        <v>8.2947761194029859</v>
      </c>
      <c r="K210" s="79">
        <f t="shared" si="29"/>
        <v>76.7472014925373</v>
      </c>
      <c r="L210" s="79">
        <v>85</v>
      </c>
      <c r="M210" s="79">
        <f t="shared" si="30"/>
        <v>12.5</v>
      </c>
      <c r="N210" s="79">
        <f t="shared" si="34"/>
        <v>89.2472014925373</v>
      </c>
      <c r="O210" s="78" t="str">
        <f t="shared" si="31"/>
        <v>T80</v>
      </c>
      <c r="P210" s="1" t="b">
        <f t="shared" si="32"/>
        <v>0</v>
      </c>
      <c r="R210" s="43" t="b">
        <v>0</v>
      </c>
      <c r="T210" s="79">
        <f t="shared" si="35"/>
        <v>12.5</v>
      </c>
      <c r="U210" s="1" t="b">
        <f t="shared" si="33"/>
        <v>0</v>
      </c>
    </row>
    <row r="211" spans="1:22" x14ac:dyDescent="0.45">
      <c r="A211" s="42"/>
      <c r="B211" s="77" t="s">
        <v>172</v>
      </c>
      <c r="C211" s="77" t="s">
        <v>176</v>
      </c>
      <c r="D211" s="78">
        <v>1987</v>
      </c>
      <c r="E211" s="78">
        <v>1993</v>
      </c>
      <c r="F211" s="78">
        <v>3250</v>
      </c>
      <c r="G211" s="78">
        <v>225</v>
      </c>
      <c r="H211" s="78">
        <v>300</v>
      </c>
      <c r="I211" s="79">
        <f t="shared" si="27"/>
        <v>250</v>
      </c>
      <c r="J211" s="79">
        <f t="shared" si="28"/>
        <v>13</v>
      </c>
      <c r="K211" s="79">
        <f t="shared" si="29"/>
        <v>56.75</v>
      </c>
      <c r="L211" s="79">
        <v>45</v>
      </c>
      <c r="M211" s="79">
        <f t="shared" si="30"/>
        <v>-7.5</v>
      </c>
      <c r="N211" s="79">
        <f t="shared" si="34"/>
        <v>49.25</v>
      </c>
      <c r="O211" s="78" t="str">
        <f t="shared" si="31"/>
        <v>T40</v>
      </c>
      <c r="P211" s="1" t="b">
        <f t="shared" si="32"/>
        <v>0</v>
      </c>
      <c r="R211" s="43" t="b">
        <v>0</v>
      </c>
      <c r="T211" s="79">
        <f t="shared" si="35"/>
        <v>-7.5</v>
      </c>
      <c r="U211" s="1" t="b">
        <f t="shared" si="33"/>
        <v>0</v>
      </c>
    </row>
    <row r="212" spans="1:22" x14ac:dyDescent="0.45">
      <c r="A212" s="42"/>
      <c r="B212" s="77" t="s">
        <v>172</v>
      </c>
      <c r="C212" s="77" t="s">
        <v>759</v>
      </c>
      <c r="D212" s="78">
        <v>2021</v>
      </c>
      <c r="E212" s="78"/>
      <c r="F212" s="78">
        <v>3829</v>
      </c>
      <c r="G212" s="78">
        <v>480</v>
      </c>
      <c r="H212" s="78">
        <v>420</v>
      </c>
      <c r="I212" s="79">
        <f t="shared" si="27"/>
        <v>460</v>
      </c>
      <c r="J212" s="79">
        <f t="shared" si="28"/>
        <v>8.3239130434782602</v>
      </c>
      <c r="K212" s="79">
        <f t="shared" si="29"/>
        <v>76.623369565217388</v>
      </c>
      <c r="L212" s="79">
        <v>85</v>
      </c>
      <c r="M212" s="79">
        <f t="shared" si="30"/>
        <v>12.5</v>
      </c>
      <c r="N212" s="79">
        <f t="shared" si="34"/>
        <v>89.123369565217388</v>
      </c>
      <c r="O212" s="78" t="str">
        <f t="shared" si="31"/>
        <v>T80</v>
      </c>
      <c r="P212" s="1" t="b">
        <f t="shared" si="32"/>
        <v>0</v>
      </c>
      <c r="R212" s="43" t="b">
        <v>0</v>
      </c>
      <c r="T212" s="79">
        <f t="shared" si="35"/>
        <v>12.5</v>
      </c>
      <c r="U212" s="1" t="b">
        <f t="shared" si="33"/>
        <v>0</v>
      </c>
      <c r="V212" s="46"/>
    </row>
    <row r="213" spans="1:22" x14ac:dyDescent="0.45">
      <c r="A213" s="42"/>
      <c r="B213" s="77" t="s">
        <v>172</v>
      </c>
      <c r="C213" s="77" t="s">
        <v>177</v>
      </c>
      <c r="D213" s="78">
        <v>1984</v>
      </c>
      <c r="E213" s="78">
        <v>1986</v>
      </c>
      <c r="F213" s="78">
        <v>3048</v>
      </c>
      <c r="G213" s="78">
        <v>205</v>
      </c>
      <c r="H213" s="78">
        <v>248</v>
      </c>
      <c r="I213" s="79">
        <f t="shared" si="27"/>
        <v>219.33333333333331</v>
      </c>
      <c r="J213" s="79">
        <f t="shared" si="28"/>
        <v>13.896656534954408</v>
      </c>
      <c r="K213" s="79">
        <f t="shared" si="29"/>
        <v>52.939209726443764</v>
      </c>
      <c r="L213" s="79">
        <v>45</v>
      </c>
      <c r="M213" s="79">
        <f t="shared" si="30"/>
        <v>-7.5</v>
      </c>
      <c r="N213" s="79">
        <f t="shared" si="34"/>
        <v>45.439209726443764</v>
      </c>
      <c r="O213" s="78" t="str">
        <f t="shared" si="31"/>
        <v>T40</v>
      </c>
      <c r="P213" s="1" t="b">
        <f t="shared" si="32"/>
        <v>0</v>
      </c>
      <c r="R213" s="43" t="b">
        <v>0</v>
      </c>
      <c r="T213" s="79">
        <f t="shared" si="35"/>
        <v>-7.5</v>
      </c>
      <c r="U213" s="1" t="b">
        <f t="shared" si="33"/>
        <v>0</v>
      </c>
    </row>
    <row r="214" spans="1:22" x14ac:dyDescent="0.45">
      <c r="A214" s="42"/>
      <c r="B214" s="77" t="s">
        <v>172</v>
      </c>
      <c r="C214" s="77" t="s">
        <v>178</v>
      </c>
      <c r="D214" s="78">
        <v>1993</v>
      </c>
      <c r="E214" s="78">
        <v>1993</v>
      </c>
      <c r="F214" s="78">
        <v>3255</v>
      </c>
      <c r="G214" s="78">
        <v>235</v>
      </c>
      <c r="H214" s="78">
        <v>280</v>
      </c>
      <c r="I214" s="79">
        <f t="shared" si="27"/>
        <v>250</v>
      </c>
      <c r="J214" s="79">
        <f t="shared" si="28"/>
        <v>13.02</v>
      </c>
      <c r="K214" s="79">
        <f t="shared" si="29"/>
        <v>56.664999999999999</v>
      </c>
      <c r="L214" s="79">
        <v>45</v>
      </c>
      <c r="M214" s="79">
        <f t="shared" si="30"/>
        <v>-7.5</v>
      </c>
      <c r="N214" s="79">
        <f t="shared" si="34"/>
        <v>49.164999999999999</v>
      </c>
      <c r="O214" s="78" t="str">
        <f t="shared" si="31"/>
        <v>T40</v>
      </c>
      <c r="P214" s="1" t="b">
        <f t="shared" si="32"/>
        <v>0</v>
      </c>
      <c r="R214" s="43" t="b">
        <v>0</v>
      </c>
      <c r="T214" s="79">
        <f t="shared" si="35"/>
        <v>-7.5</v>
      </c>
      <c r="U214" s="1" t="b">
        <f t="shared" si="33"/>
        <v>0</v>
      </c>
    </row>
    <row r="215" spans="1:22" x14ac:dyDescent="0.45">
      <c r="A215" s="42"/>
      <c r="B215" s="77" t="s">
        <v>172</v>
      </c>
      <c r="C215" s="77" t="s">
        <v>179</v>
      </c>
      <c r="D215" s="78">
        <v>2005</v>
      </c>
      <c r="E215" s="78">
        <v>2009</v>
      </c>
      <c r="F215" s="78">
        <v>3350</v>
      </c>
      <c r="G215" s="78">
        <v>210</v>
      </c>
      <c r="H215" s="78">
        <v>240</v>
      </c>
      <c r="I215" s="79">
        <f t="shared" si="27"/>
        <v>220</v>
      </c>
      <c r="J215" s="79">
        <f t="shared" si="28"/>
        <v>15.227272727272727</v>
      </c>
      <c r="K215" s="79">
        <f t="shared" si="29"/>
        <v>47.284090909090907</v>
      </c>
      <c r="L215" s="79">
        <v>55</v>
      </c>
      <c r="M215" s="79">
        <f t="shared" si="30"/>
        <v>-2.5</v>
      </c>
      <c r="N215" s="79">
        <f t="shared" si="34"/>
        <v>44.784090909090907</v>
      </c>
      <c r="O215" s="78" t="str">
        <f t="shared" si="31"/>
        <v>T40</v>
      </c>
      <c r="P215" s="1" t="b">
        <f t="shared" si="32"/>
        <v>0</v>
      </c>
      <c r="R215" s="43" t="b">
        <v>0</v>
      </c>
      <c r="T215" s="79">
        <f t="shared" si="35"/>
        <v>-2.5</v>
      </c>
      <c r="U215" s="1" t="b">
        <f t="shared" si="33"/>
        <v>0</v>
      </c>
    </row>
    <row r="216" spans="1:22" x14ac:dyDescent="0.45">
      <c r="A216" s="42"/>
      <c r="B216" s="77" t="s">
        <v>172</v>
      </c>
      <c r="C216" s="77" t="s">
        <v>179</v>
      </c>
      <c r="D216" s="78">
        <v>2010</v>
      </c>
      <c r="E216" s="78">
        <v>2010</v>
      </c>
      <c r="F216" s="78">
        <v>3401</v>
      </c>
      <c r="G216" s="78">
        <v>210</v>
      </c>
      <c r="H216" s="78">
        <v>240</v>
      </c>
      <c r="I216" s="79">
        <f t="shared" si="27"/>
        <v>220</v>
      </c>
      <c r="J216" s="79">
        <f t="shared" si="28"/>
        <v>15.459090909090909</v>
      </c>
      <c r="K216" s="79">
        <f t="shared" si="29"/>
        <v>46.298863636363635</v>
      </c>
      <c r="L216" s="79">
        <v>55</v>
      </c>
      <c r="M216" s="79">
        <f t="shared" si="30"/>
        <v>-2.5</v>
      </c>
      <c r="N216" s="79">
        <f t="shared" si="34"/>
        <v>43.798863636363635</v>
      </c>
      <c r="O216" s="78" t="str">
        <f t="shared" si="31"/>
        <v>T40</v>
      </c>
      <c r="P216" s="1" t="b">
        <f t="shared" si="32"/>
        <v>0</v>
      </c>
      <c r="R216" s="43" t="b">
        <v>0</v>
      </c>
      <c r="T216" s="79">
        <f t="shared" si="35"/>
        <v>-2.5</v>
      </c>
      <c r="U216" s="1" t="b">
        <f t="shared" si="33"/>
        <v>0</v>
      </c>
    </row>
    <row r="217" spans="1:22" x14ac:dyDescent="0.45">
      <c r="A217" s="42"/>
      <c r="B217" s="77" t="s">
        <v>172</v>
      </c>
      <c r="C217" s="77" t="s">
        <v>179</v>
      </c>
      <c r="D217" s="78">
        <v>2011</v>
      </c>
      <c r="E217" s="78"/>
      <c r="F217" s="78">
        <v>3401</v>
      </c>
      <c r="G217" s="78">
        <v>305</v>
      </c>
      <c r="H217" s="78">
        <v>280</v>
      </c>
      <c r="I217" s="79">
        <f t="shared" si="27"/>
        <v>296.66666666666663</v>
      </c>
      <c r="J217" s="79">
        <f t="shared" si="28"/>
        <v>11.464044943820227</v>
      </c>
      <c r="K217" s="79">
        <f t="shared" si="29"/>
        <v>63.277808988764036</v>
      </c>
      <c r="L217" s="79">
        <v>60</v>
      </c>
      <c r="M217" s="79">
        <f t="shared" si="30"/>
        <v>0</v>
      </c>
      <c r="N217" s="79">
        <f t="shared" si="34"/>
        <v>63.277808988764036</v>
      </c>
      <c r="O217" s="78" t="str">
        <f t="shared" si="31"/>
        <v>T60</v>
      </c>
      <c r="P217" s="1" t="b">
        <f t="shared" si="32"/>
        <v>0</v>
      </c>
      <c r="R217" s="43" t="b">
        <v>0</v>
      </c>
      <c r="T217" s="79">
        <f t="shared" si="35"/>
        <v>0</v>
      </c>
      <c r="U217" s="1" t="b">
        <f t="shared" si="33"/>
        <v>0</v>
      </c>
    </row>
    <row r="218" spans="1:22" x14ac:dyDescent="0.45">
      <c r="A218" s="42"/>
      <c r="B218" s="77" t="s">
        <v>172</v>
      </c>
      <c r="C218" s="77" t="s">
        <v>503</v>
      </c>
      <c r="D218" s="78">
        <v>2007</v>
      </c>
      <c r="E218" s="78">
        <v>2008</v>
      </c>
      <c r="F218" s="78">
        <v>3475</v>
      </c>
      <c r="G218" s="78">
        <v>325</v>
      </c>
      <c r="H218" s="78">
        <v>330</v>
      </c>
      <c r="I218" s="79">
        <f t="shared" si="27"/>
        <v>326.66666666666663</v>
      </c>
      <c r="J218" s="79">
        <f t="shared" si="28"/>
        <v>10.637755102040817</v>
      </c>
      <c r="K218" s="79">
        <f t="shared" si="29"/>
        <v>66.789540816326536</v>
      </c>
      <c r="L218" s="79">
        <v>60</v>
      </c>
      <c r="M218" s="79">
        <f t="shared" si="30"/>
        <v>0</v>
      </c>
      <c r="N218" s="79">
        <f t="shared" si="34"/>
        <v>66.789540816326536</v>
      </c>
      <c r="O218" s="78" t="str">
        <f t="shared" si="31"/>
        <v>T60</v>
      </c>
      <c r="P218" s="1" t="b">
        <f t="shared" si="32"/>
        <v>0</v>
      </c>
      <c r="R218" s="43" t="b">
        <v>0</v>
      </c>
      <c r="T218" s="79">
        <f t="shared" si="35"/>
        <v>0</v>
      </c>
      <c r="U218" s="1" t="b">
        <f t="shared" si="33"/>
        <v>0</v>
      </c>
    </row>
    <row r="219" spans="1:22" x14ac:dyDescent="0.45">
      <c r="A219" s="42"/>
      <c r="B219" s="89" t="s">
        <v>172</v>
      </c>
      <c r="C219" s="89" t="s">
        <v>791</v>
      </c>
      <c r="D219" s="84">
        <v>2016</v>
      </c>
      <c r="E219" s="84">
        <v>2020</v>
      </c>
      <c r="F219" s="84">
        <v>3796</v>
      </c>
      <c r="G219" s="84">
        <v>526</v>
      </c>
      <c r="H219" s="84">
        <v>429</v>
      </c>
      <c r="I219" s="85">
        <f t="shared" si="27"/>
        <v>493.66666666666663</v>
      </c>
      <c r="J219" s="85">
        <f t="shared" si="28"/>
        <v>7.6893990546927755</v>
      </c>
      <c r="K219" s="79">
        <f t="shared" si="29"/>
        <v>79.320054017555705</v>
      </c>
      <c r="L219" s="85">
        <v>80</v>
      </c>
      <c r="M219" s="79">
        <f t="shared" si="30"/>
        <v>10</v>
      </c>
      <c r="N219" s="79">
        <f t="shared" si="34"/>
        <v>89.320054017555705</v>
      </c>
      <c r="O219" s="78" t="str">
        <f t="shared" si="31"/>
        <v>T80</v>
      </c>
      <c r="P219" s="1" t="b">
        <f t="shared" si="32"/>
        <v>0</v>
      </c>
      <c r="R219" s="43" t="b">
        <v>0</v>
      </c>
      <c r="T219" s="79">
        <f t="shared" si="35"/>
        <v>10</v>
      </c>
      <c r="U219" s="1" t="b">
        <f t="shared" si="33"/>
        <v>0</v>
      </c>
    </row>
    <row r="220" spans="1:22" x14ac:dyDescent="0.45">
      <c r="A220" s="42"/>
      <c r="B220" s="89" t="s">
        <v>172</v>
      </c>
      <c r="C220" s="89" t="s">
        <v>792</v>
      </c>
      <c r="D220" s="84">
        <v>2016</v>
      </c>
      <c r="E220" s="84">
        <v>2020</v>
      </c>
      <c r="F220" s="84">
        <v>3796</v>
      </c>
      <c r="G220" s="84">
        <v>526</v>
      </c>
      <c r="H220" s="84">
        <v>429</v>
      </c>
      <c r="I220" s="85">
        <f t="shared" si="27"/>
        <v>493.66666666666663</v>
      </c>
      <c r="J220" s="85">
        <f t="shared" si="28"/>
        <v>7.6893990546927755</v>
      </c>
      <c r="K220" s="79">
        <f t="shared" si="29"/>
        <v>79.320054017555705</v>
      </c>
      <c r="L220" s="85">
        <v>85</v>
      </c>
      <c r="M220" s="79">
        <f t="shared" si="30"/>
        <v>12.5</v>
      </c>
      <c r="N220" s="79">
        <f t="shared" si="34"/>
        <v>91.820054017555705</v>
      </c>
      <c r="O220" s="78" t="str">
        <f t="shared" si="31"/>
        <v>T90</v>
      </c>
      <c r="P220" s="1" t="b">
        <f t="shared" si="32"/>
        <v>0</v>
      </c>
      <c r="R220" s="43" t="b">
        <v>0</v>
      </c>
      <c r="T220" s="79">
        <f t="shared" si="35"/>
        <v>12.5</v>
      </c>
      <c r="U220" s="1" t="b">
        <f t="shared" si="33"/>
        <v>0</v>
      </c>
    </row>
    <row r="221" spans="1:22" x14ac:dyDescent="0.45">
      <c r="A221" s="42"/>
      <c r="B221" s="89" t="s">
        <v>172</v>
      </c>
      <c r="C221" s="89" t="s">
        <v>793</v>
      </c>
      <c r="D221" s="84">
        <v>2016</v>
      </c>
      <c r="E221" s="84"/>
      <c r="F221" s="84">
        <v>3718</v>
      </c>
      <c r="G221" s="84">
        <v>526</v>
      </c>
      <c r="H221" s="84">
        <v>429</v>
      </c>
      <c r="I221" s="85">
        <f t="shared" si="27"/>
        <v>493.66666666666663</v>
      </c>
      <c r="J221" s="85">
        <f t="shared" si="28"/>
        <v>7.5313977042538829</v>
      </c>
      <c r="K221" s="79">
        <f t="shared" si="29"/>
        <v>79.991559756920992</v>
      </c>
      <c r="L221" s="85">
        <v>90</v>
      </c>
      <c r="M221" s="79">
        <f t="shared" si="30"/>
        <v>15</v>
      </c>
      <c r="N221" s="85">
        <f t="shared" si="34"/>
        <v>94.991559756920992</v>
      </c>
      <c r="O221" s="78" t="str">
        <f t="shared" si="31"/>
        <v>T90</v>
      </c>
      <c r="P221" s="1" t="b">
        <f t="shared" si="32"/>
        <v>0</v>
      </c>
      <c r="R221" s="43" t="b">
        <v>0</v>
      </c>
      <c r="T221" s="79">
        <f t="shared" si="35"/>
        <v>15</v>
      </c>
      <c r="U221" s="1" t="b">
        <f t="shared" si="33"/>
        <v>0</v>
      </c>
    </row>
    <row r="222" spans="1:22" x14ac:dyDescent="0.45">
      <c r="A222" s="42"/>
      <c r="B222" s="77" t="s">
        <v>172</v>
      </c>
      <c r="C222" s="77" t="s">
        <v>794</v>
      </c>
      <c r="D222" s="78">
        <v>2005</v>
      </c>
      <c r="E222" s="78">
        <v>2009</v>
      </c>
      <c r="F222" s="78">
        <v>3920</v>
      </c>
      <c r="G222" s="78">
        <v>500</v>
      </c>
      <c r="H222" s="78">
        <v>480</v>
      </c>
      <c r="I222" s="79">
        <f t="shared" si="27"/>
        <v>493.33333333333331</v>
      </c>
      <c r="J222" s="79">
        <f t="shared" si="28"/>
        <v>7.9459459459459465</v>
      </c>
      <c r="K222" s="79">
        <f t="shared" si="29"/>
        <v>78.229729729729726</v>
      </c>
      <c r="L222" s="79">
        <v>70</v>
      </c>
      <c r="M222" s="79">
        <f t="shared" si="30"/>
        <v>5</v>
      </c>
      <c r="N222" s="79">
        <f t="shared" si="34"/>
        <v>83.229729729729726</v>
      </c>
      <c r="O222" s="78" t="str">
        <f t="shared" si="31"/>
        <v>T80</v>
      </c>
      <c r="P222" s="1" t="b">
        <f t="shared" si="32"/>
        <v>0</v>
      </c>
      <c r="R222" s="43" t="b">
        <v>0</v>
      </c>
      <c r="T222" s="79">
        <f t="shared" si="35"/>
        <v>5</v>
      </c>
      <c r="U222" s="1" t="b">
        <f t="shared" si="33"/>
        <v>0</v>
      </c>
    </row>
    <row r="223" spans="1:22" x14ac:dyDescent="0.45">
      <c r="A223" s="42"/>
      <c r="B223" s="77" t="s">
        <v>172</v>
      </c>
      <c r="C223" s="77" t="s">
        <v>794</v>
      </c>
      <c r="D223" s="78">
        <v>2010</v>
      </c>
      <c r="E223" s="78">
        <v>2010</v>
      </c>
      <c r="F223" s="78">
        <v>3940</v>
      </c>
      <c r="G223" s="78">
        <v>540</v>
      </c>
      <c r="H223" s="78">
        <v>510</v>
      </c>
      <c r="I223" s="79">
        <f t="shared" si="27"/>
        <v>530</v>
      </c>
      <c r="J223" s="79">
        <f t="shared" si="28"/>
        <v>7.4339622641509431</v>
      </c>
      <c r="K223" s="79">
        <f t="shared" si="29"/>
        <v>80.405660377358487</v>
      </c>
      <c r="L223" s="79">
        <v>65</v>
      </c>
      <c r="M223" s="79">
        <f t="shared" si="30"/>
        <v>2.5</v>
      </c>
      <c r="N223" s="79">
        <f t="shared" si="34"/>
        <v>82.905660377358487</v>
      </c>
      <c r="O223" s="78" t="str">
        <f t="shared" si="31"/>
        <v>T80</v>
      </c>
      <c r="P223" s="1" t="b">
        <f t="shared" si="32"/>
        <v>0</v>
      </c>
      <c r="R223" s="43" t="b">
        <v>0</v>
      </c>
      <c r="T223" s="79">
        <f t="shared" si="35"/>
        <v>2.5</v>
      </c>
      <c r="U223" s="1" t="b">
        <f t="shared" si="33"/>
        <v>0</v>
      </c>
    </row>
    <row r="224" spans="1:22" x14ac:dyDescent="0.45">
      <c r="A224" s="42"/>
      <c r="B224" s="77" t="s">
        <v>172</v>
      </c>
      <c r="C224" s="77" t="s">
        <v>794</v>
      </c>
      <c r="D224" s="78">
        <v>2011</v>
      </c>
      <c r="E224" s="78">
        <v>2012</v>
      </c>
      <c r="F224" s="78">
        <v>3871</v>
      </c>
      <c r="G224" s="78">
        <v>550</v>
      </c>
      <c r="H224" s="78">
        <v>510</v>
      </c>
      <c r="I224" s="79">
        <f t="shared" si="27"/>
        <v>536.66666666666663</v>
      </c>
      <c r="J224" s="79">
        <f t="shared" si="28"/>
        <v>7.2130434782608699</v>
      </c>
      <c r="K224" s="79">
        <f t="shared" si="29"/>
        <v>81.344565217391306</v>
      </c>
      <c r="L224" s="79">
        <v>70</v>
      </c>
      <c r="M224" s="79">
        <f t="shared" si="30"/>
        <v>5</v>
      </c>
      <c r="N224" s="79">
        <f t="shared" si="34"/>
        <v>86.344565217391306</v>
      </c>
      <c r="O224" s="78" t="str">
        <f t="shared" si="31"/>
        <v>T80</v>
      </c>
      <c r="P224" s="1" t="b">
        <f t="shared" si="32"/>
        <v>0</v>
      </c>
      <c r="R224" s="43" t="b">
        <v>0</v>
      </c>
      <c r="T224" s="79">
        <f t="shared" si="35"/>
        <v>5</v>
      </c>
      <c r="U224" s="1" t="b">
        <f t="shared" si="33"/>
        <v>0</v>
      </c>
    </row>
    <row r="225" spans="1:22" x14ac:dyDescent="0.45">
      <c r="A225" s="42"/>
      <c r="B225" s="77" t="s">
        <v>172</v>
      </c>
      <c r="C225" s="77" t="s">
        <v>794</v>
      </c>
      <c r="D225" s="78">
        <v>2013</v>
      </c>
      <c r="E225" s="78">
        <v>2014</v>
      </c>
      <c r="F225" s="78">
        <v>3871</v>
      </c>
      <c r="G225" s="78">
        <v>662</v>
      </c>
      <c r="H225" s="78">
        <v>630</v>
      </c>
      <c r="I225" s="79">
        <f t="shared" si="27"/>
        <v>651.33333333333326</v>
      </c>
      <c r="J225" s="79">
        <f t="shared" si="28"/>
        <v>5.9431934493346992</v>
      </c>
      <c r="K225" s="79">
        <f t="shared" si="29"/>
        <v>86.741427840327532</v>
      </c>
      <c r="L225" s="79">
        <v>70</v>
      </c>
      <c r="M225" s="79">
        <f t="shared" si="30"/>
        <v>5</v>
      </c>
      <c r="N225" s="79">
        <f t="shared" si="34"/>
        <v>91.741427840327532</v>
      </c>
      <c r="O225" s="78" t="str">
        <f t="shared" si="31"/>
        <v>T90</v>
      </c>
      <c r="P225" s="1" t="b">
        <f t="shared" si="32"/>
        <v>0</v>
      </c>
      <c r="R225" s="43" t="b">
        <v>0</v>
      </c>
      <c r="T225" s="79">
        <f t="shared" si="35"/>
        <v>5</v>
      </c>
      <c r="U225" s="1" t="b">
        <f t="shared" si="33"/>
        <v>0</v>
      </c>
    </row>
    <row r="226" spans="1:22" x14ac:dyDescent="0.45">
      <c r="A226" s="42"/>
      <c r="B226" s="77" t="s">
        <v>172</v>
      </c>
      <c r="C226" s="77" t="s">
        <v>794</v>
      </c>
      <c r="D226" s="78">
        <v>2020</v>
      </c>
      <c r="E226" s="78"/>
      <c r="F226" s="78">
        <v>4059</v>
      </c>
      <c r="G226" s="78">
        <v>760</v>
      </c>
      <c r="H226" s="78">
        <v>625</v>
      </c>
      <c r="I226" s="79">
        <f t="shared" si="27"/>
        <v>715</v>
      </c>
      <c r="J226" s="79">
        <f t="shared" si="28"/>
        <v>5.6769230769230772</v>
      </c>
      <c r="K226" s="79">
        <f t="shared" si="29"/>
        <v>87.873076923076923</v>
      </c>
      <c r="L226" s="79">
        <v>75</v>
      </c>
      <c r="M226" s="79">
        <f t="shared" si="30"/>
        <v>7.5</v>
      </c>
      <c r="N226" s="79">
        <f t="shared" si="34"/>
        <v>95.373076923076923</v>
      </c>
      <c r="O226" s="78" t="str">
        <f t="shared" si="31"/>
        <v>T90</v>
      </c>
      <c r="P226" s="1" t="b">
        <f t="shared" si="32"/>
        <v>0</v>
      </c>
      <c r="R226" s="43" t="b">
        <v>0</v>
      </c>
      <c r="T226" s="79">
        <f t="shared" si="35"/>
        <v>7.5</v>
      </c>
      <c r="U226" s="1" t="b">
        <f t="shared" si="33"/>
        <v>0</v>
      </c>
    </row>
    <row r="227" spans="1:22" x14ac:dyDescent="0.45">
      <c r="A227" s="42"/>
      <c r="B227" s="77" t="s">
        <v>172</v>
      </c>
      <c r="C227" s="77" t="s">
        <v>276</v>
      </c>
      <c r="D227" s="78">
        <v>1969</v>
      </c>
      <c r="E227" s="78">
        <v>1970</v>
      </c>
      <c r="F227" s="78">
        <v>3600</v>
      </c>
      <c r="G227" s="78">
        <v>290</v>
      </c>
      <c r="H227" s="78">
        <v>385</v>
      </c>
      <c r="I227" s="79">
        <f t="shared" si="27"/>
        <v>321.66666666666663</v>
      </c>
      <c r="J227" s="79">
        <f t="shared" si="28"/>
        <v>11.191709844559586</v>
      </c>
      <c r="K227" s="79">
        <f t="shared" si="29"/>
        <v>64.435233160621749</v>
      </c>
      <c r="L227" s="79">
        <v>15</v>
      </c>
      <c r="M227" s="79">
        <f t="shared" si="30"/>
        <v>-22.5</v>
      </c>
      <c r="N227" s="79">
        <f t="shared" si="34"/>
        <v>41.935233160621749</v>
      </c>
      <c r="O227" s="78" t="str">
        <f t="shared" si="31"/>
        <v>T40</v>
      </c>
      <c r="P227" s="1" t="b">
        <f t="shared" si="32"/>
        <v>0</v>
      </c>
      <c r="R227" s="43" t="b">
        <v>0</v>
      </c>
      <c r="T227" s="79">
        <f t="shared" si="35"/>
        <v>-22.5</v>
      </c>
      <c r="U227" s="1" t="b">
        <f t="shared" si="33"/>
        <v>0</v>
      </c>
    </row>
    <row r="228" spans="1:22" x14ac:dyDescent="0.45">
      <c r="A228" s="42"/>
      <c r="B228" s="77" t="s">
        <v>172</v>
      </c>
      <c r="C228" s="77" t="s">
        <v>277</v>
      </c>
      <c r="D228" s="78">
        <v>1967</v>
      </c>
      <c r="E228" s="78">
        <v>1967</v>
      </c>
      <c r="F228" s="78">
        <v>3370</v>
      </c>
      <c r="G228" s="78">
        <v>355</v>
      </c>
      <c r="H228" s="78">
        <v>420</v>
      </c>
      <c r="I228" s="79">
        <f t="shared" si="27"/>
        <v>376.66666666666663</v>
      </c>
      <c r="J228" s="79">
        <f t="shared" si="28"/>
        <v>8.946902654867257</v>
      </c>
      <c r="K228" s="79">
        <f t="shared" si="29"/>
        <v>73.975663716814154</v>
      </c>
      <c r="L228" s="79">
        <v>15</v>
      </c>
      <c r="M228" s="79">
        <f t="shared" si="30"/>
        <v>-22.5</v>
      </c>
      <c r="N228" s="79">
        <f t="shared" si="34"/>
        <v>51.475663716814154</v>
      </c>
      <c r="O228" s="78" t="str">
        <f t="shared" si="31"/>
        <v>T50</v>
      </c>
      <c r="P228" s="1" t="b">
        <f t="shared" si="32"/>
        <v>0</v>
      </c>
      <c r="R228" s="43" t="b">
        <v>0</v>
      </c>
      <c r="T228" s="79">
        <f t="shared" si="35"/>
        <v>-22.5</v>
      </c>
      <c r="U228" s="1" t="b">
        <f t="shared" si="33"/>
        <v>0</v>
      </c>
    </row>
    <row r="229" spans="1:22" x14ac:dyDescent="0.45">
      <c r="A229" s="42"/>
      <c r="B229" s="77" t="s">
        <v>180</v>
      </c>
      <c r="C229" s="135" t="s">
        <v>808</v>
      </c>
      <c r="D229" s="78">
        <v>1994</v>
      </c>
      <c r="E229" s="78">
        <v>1994</v>
      </c>
      <c r="F229" s="78">
        <v>3076</v>
      </c>
      <c r="G229" s="78">
        <v>130</v>
      </c>
      <c r="H229" s="78">
        <v>139</v>
      </c>
      <c r="I229" s="79">
        <f t="shared" si="27"/>
        <v>133</v>
      </c>
      <c r="J229" s="79">
        <f t="shared" si="28"/>
        <v>23.127819548872182</v>
      </c>
      <c r="K229" s="79">
        <f t="shared" si="29"/>
        <v>13.706766917293223</v>
      </c>
      <c r="L229" s="79">
        <v>50</v>
      </c>
      <c r="M229" s="79">
        <f t="shared" si="30"/>
        <v>-5</v>
      </c>
      <c r="N229" s="79">
        <f t="shared" si="34"/>
        <v>8.7067669172932227</v>
      </c>
      <c r="O229" s="78" t="str">
        <f t="shared" si="31"/>
        <v>T30</v>
      </c>
      <c r="P229" s="1" t="b">
        <f t="shared" si="32"/>
        <v>0</v>
      </c>
      <c r="R229" s="43" t="b">
        <v>0</v>
      </c>
      <c r="T229" s="79">
        <f t="shared" si="35"/>
        <v>-5</v>
      </c>
      <c r="U229" s="1" t="b">
        <f t="shared" si="33"/>
        <v>0</v>
      </c>
      <c r="V229" s="46"/>
    </row>
    <row r="230" spans="1:22" x14ac:dyDescent="0.45">
      <c r="A230" s="42"/>
      <c r="B230" s="77" t="s">
        <v>180</v>
      </c>
      <c r="C230" s="77" t="s">
        <v>525</v>
      </c>
      <c r="D230" s="78">
        <v>1992</v>
      </c>
      <c r="E230" s="78">
        <v>1992</v>
      </c>
      <c r="F230" s="78">
        <v>2178</v>
      </c>
      <c r="G230" s="78">
        <v>102</v>
      </c>
      <c r="H230" s="78">
        <v>98</v>
      </c>
      <c r="I230" s="79">
        <f t="shared" si="27"/>
        <v>100.66666666666666</v>
      </c>
      <c r="J230" s="79">
        <f t="shared" si="28"/>
        <v>21.635761589403977</v>
      </c>
      <c r="K230" s="79">
        <f t="shared" si="29"/>
        <v>20.048013245033104</v>
      </c>
      <c r="L230" s="79">
        <v>50</v>
      </c>
      <c r="M230" s="79">
        <f t="shared" si="30"/>
        <v>-5</v>
      </c>
      <c r="N230" s="79">
        <f t="shared" si="34"/>
        <v>15.048013245033104</v>
      </c>
      <c r="O230" s="78" t="str">
        <f t="shared" si="31"/>
        <v>T30</v>
      </c>
      <c r="P230" s="1" t="b">
        <f t="shared" si="32"/>
        <v>0</v>
      </c>
      <c r="R230" s="43" t="b">
        <v>0</v>
      </c>
      <c r="T230" s="79">
        <f t="shared" si="35"/>
        <v>-5</v>
      </c>
      <c r="U230" s="1" t="b">
        <f t="shared" si="33"/>
        <v>0</v>
      </c>
    </row>
    <row r="231" spans="1:22" x14ac:dyDescent="0.45">
      <c r="A231" s="42"/>
      <c r="B231" s="77" t="s">
        <v>180</v>
      </c>
      <c r="C231" s="77" t="s">
        <v>718</v>
      </c>
      <c r="D231" s="78">
        <v>1991</v>
      </c>
      <c r="E231" s="78">
        <v>1995</v>
      </c>
      <c r="F231" s="78">
        <v>2094</v>
      </c>
      <c r="G231" s="78">
        <v>70</v>
      </c>
      <c r="H231" s="78">
        <v>91</v>
      </c>
      <c r="I231" s="79">
        <f t="shared" si="27"/>
        <v>77</v>
      </c>
      <c r="J231" s="79">
        <f t="shared" si="28"/>
        <v>27.194805194805195</v>
      </c>
      <c r="K231" s="79">
        <f t="shared" si="29"/>
        <v>-3.5779220779220822</v>
      </c>
      <c r="L231" s="79">
        <v>50</v>
      </c>
      <c r="M231" s="79">
        <f t="shared" si="30"/>
        <v>-5</v>
      </c>
      <c r="N231" s="79">
        <f t="shared" si="34"/>
        <v>-8.5779220779220822</v>
      </c>
      <c r="O231" s="78" t="str">
        <f t="shared" si="31"/>
        <v>T30</v>
      </c>
      <c r="P231" s="1" t="b">
        <f t="shared" si="32"/>
        <v>0</v>
      </c>
      <c r="R231" s="43" t="b">
        <v>0</v>
      </c>
      <c r="T231" s="79">
        <f t="shared" si="35"/>
        <v>-5</v>
      </c>
      <c r="U231" s="1" t="b">
        <f t="shared" si="33"/>
        <v>0</v>
      </c>
    </row>
    <row r="232" spans="1:22" x14ac:dyDescent="0.45">
      <c r="A232" s="42"/>
      <c r="B232" s="77" t="s">
        <v>180</v>
      </c>
      <c r="C232" s="77" t="s">
        <v>719</v>
      </c>
      <c r="D232" s="78">
        <v>1991</v>
      </c>
      <c r="E232" s="78">
        <v>1995</v>
      </c>
      <c r="F232" s="78">
        <v>2094</v>
      </c>
      <c r="G232" s="78">
        <v>197</v>
      </c>
      <c r="H232" s="78">
        <v>171</v>
      </c>
      <c r="I232" s="79">
        <f t="shared" si="27"/>
        <v>188.33333333333331</v>
      </c>
      <c r="J232" s="79">
        <f t="shared" si="28"/>
        <v>11.11858407079646</v>
      </c>
      <c r="K232" s="79">
        <f t="shared" si="29"/>
        <v>64.746017699115043</v>
      </c>
      <c r="L232" s="79">
        <v>50</v>
      </c>
      <c r="M232" s="79">
        <f t="shared" si="30"/>
        <v>-5</v>
      </c>
      <c r="N232" s="79">
        <f t="shared" si="34"/>
        <v>59.746017699115043</v>
      </c>
      <c r="O232" s="78" t="str">
        <f t="shared" si="31"/>
        <v>T50</v>
      </c>
      <c r="P232" s="1" t="b">
        <f t="shared" si="32"/>
        <v>0</v>
      </c>
      <c r="R232" s="43" t="b">
        <v>0</v>
      </c>
      <c r="T232" s="79">
        <f t="shared" si="35"/>
        <v>-5</v>
      </c>
      <c r="U232" s="1" t="b">
        <f t="shared" si="33"/>
        <v>0</v>
      </c>
    </row>
    <row r="233" spans="1:22" x14ac:dyDescent="0.45">
      <c r="A233" s="42"/>
      <c r="B233" s="77" t="s">
        <v>180</v>
      </c>
      <c r="C233" s="77" t="s">
        <v>181</v>
      </c>
      <c r="D233" s="78">
        <v>1995</v>
      </c>
      <c r="E233" s="78">
        <v>1995</v>
      </c>
      <c r="F233" s="78">
        <v>2231</v>
      </c>
      <c r="G233" s="78">
        <v>102</v>
      </c>
      <c r="H233" s="78">
        <v>98</v>
      </c>
      <c r="I233" s="79">
        <f t="shared" si="27"/>
        <v>100.66666666666666</v>
      </c>
      <c r="J233" s="79">
        <f t="shared" si="28"/>
        <v>22.162251655629142</v>
      </c>
      <c r="K233" s="79">
        <f t="shared" si="29"/>
        <v>17.810430463576154</v>
      </c>
      <c r="L233" s="79">
        <v>50</v>
      </c>
      <c r="M233" s="79">
        <f t="shared" si="30"/>
        <v>-5</v>
      </c>
      <c r="N233" s="79">
        <f t="shared" si="34"/>
        <v>12.810430463576154</v>
      </c>
      <c r="O233" s="78" t="str">
        <f t="shared" si="31"/>
        <v>T30</v>
      </c>
      <c r="P233" s="1" t="b">
        <f t="shared" si="32"/>
        <v>0</v>
      </c>
      <c r="R233" s="43" t="b">
        <v>0</v>
      </c>
      <c r="T233" s="79">
        <f t="shared" si="35"/>
        <v>-5</v>
      </c>
      <c r="U233" s="1" t="b">
        <f t="shared" si="33"/>
        <v>0</v>
      </c>
    </row>
    <row r="234" spans="1:22" x14ac:dyDescent="0.45">
      <c r="A234" s="42"/>
      <c r="B234" s="77" t="s">
        <v>180</v>
      </c>
      <c r="C234" s="77" t="s">
        <v>181</v>
      </c>
      <c r="D234" s="78">
        <v>1996</v>
      </c>
      <c r="E234" s="78">
        <v>1996</v>
      </c>
      <c r="F234" s="78">
        <v>2262</v>
      </c>
      <c r="G234" s="78">
        <v>127</v>
      </c>
      <c r="H234" s="78">
        <v>107</v>
      </c>
      <c r="I234" s="79">
        <f t="shared" si="27"/>
        <v>120.33333333333331</v>
      </c>
      <c r="J234" s="79">
        <f t="shared" si="28"/>
        <v>18.797783933518009</v>
      </c>
      <c r="K234" s="79">
        <f t="shared" si="29"/>
        <v>32.109418282548461</v>
      </c>
      <c r="L234" s="79">
        <v>50</v>
      </c>
      <c r="M234" s="79">
        <f t="shared" si="30"/>
        <v>-5</v>
      </c>
      <c r="N234" s="79">
        <f t="shared" si="34"/>
        <v>27.109418282548461</v>
      </c>
      <c r="O234" s="78" t="str">
        <f t="shared" si="31"/>
        <v>T30</v>
      </c>
      <c r="P234" s="1" t="b">
        <f t="shared" si="32"/>
        <v>0</v>
      </c>
      <c r="R234" s="43" t="b">
        <v>0</v>
      </c>
      <c r="T234" s="79">
        <f t="shared" si="35"/>
        <v>-5</v>
      </c>
      <c r="U234" s="1" t="b">
        <f t="shared" si="33"/>
        <v>0</v>
      </c>
    </row>
    <row r="235" spans="1:22" x14ac:dyDescent="0.45">
      <c r="A235" s="42"/>
      <c r="B235" s="77" t="s">
        <v>180</v>
      </c>
      <c r="C235" s="77" t="s">
        <v>181</v>
      </c>
      <c r="D235" s="78">
        <v>1998</v>
      </c>
      <c r="E235" s="78">
        <v>1998</v>
      </c>
      <c r="F235" s="78">
        <v>2339</v>
      </c>
      <c r="G235" s="78">
        <v>106</v>
      </c>
      <c r="H235" s="78">
        <v>103</v>
      </c>
      <c r="I235" s="79">
        <f t="shared" si="27"/>
        <v>104.99999999999999</v>
      </c>
      <c r="J235" s="79">
        <f t="shared" si="28"/>
        <v>22.276190476190479</v>
      </c>
      <c r="K235" s="79">
        <f t="shared" si="29"/>
        <v>17.326190476190462</v>
      </c>
      <c r="L235" s="79">
        <v>50</v>
      </c>
      <c r="M235" s="79">
        <f t="shared" si="30"/>
        <v>-5</v>
      </c>
      <c r="N235" s="79">
        <f t="shared" si="34"/>
        <v>12.326190476190462</v>
      </c>
      <c r="O235" s="78" t="str">
        <f t="shared" si="31"/>
        <v>T30</v>
      </c>
      <c r="P235" s="1" t="b">
        <f t="shared" si="32"/>
        <v>0</v>
      </c>
      <c r="R235" s="43" t="b">
        <v>0</v>
      </c>
      <c r="T235" s="79">
        <f t="shared" si="35"/>
        <v>-5</v>
      </c>
      <c r="U235" s="1" t="b">
        <f t="shared" si="33"/>
        <v>0</v>
      </c>
    </row>
    <row r="236" spans="1:22" x14ac:dyDescent="0.45">
      <c r="A236" s="42"/>
      <c r="B236" s="77" t="s">
        <v>180</v>
      </c>
      <c r="C236" s="77" t="s">
        <v>181</v>
      </c>
      <c r="D236" s="78">
        <v>2003</v>
      </c>
      <c r="E236" s="78">
        <v>2003</v>
      </c>
      <c r="F236" s="78">
        <v>2416</v>
      </c>
      <c r="G236" s="78">
        <v>115</v>
      </c>
      <c r="H236" s="78">
        <v>110</v>
      </c>
      <c r="I236" s="79">
        <f t="shared" si="27"/>
        <v>113.33333333333331</v>
      </c>
      <c r="J236" s="79">
        <f t="shared" si="28"/>
        <v>21.317647058823532</v>
      </c>
      <c r="K236" s="79">
        <f t="shared" si="29"/>
        <v>21.399999999999991</v>
      </c>
      <c r="L236" s="79">
        <v>50</v>
      </c>
      <c r="M236" s="79">
        <f t="shared" si="30"/>
        <v>-5</v>
      </c>
      <c r="N236" s="79">
        <f t="shared" si="34"/>
        <v>16.399999999999991</v>
      </c>
      <c r="O236" s="78" t="str">
        <f t="shared" si="31"/>
        <v>T30</v>
      </c>
      <c r="P236" s="1" t="b">
        <f t="shared" si="32"/>
        <v>0</v>
      </c>
      <c r="R236" s="43" t="b">
        <v>0</v>
      </c>
      <c r="T236" s="79">
        <f t="shared" si="35"/>
        <v>-5</v>
      </c>
      <c r="U236" s="1" t="b">
        <f t="shared" si="33"/>
        <v>0</v>
      </c>
    </row>
    <row r="237" spans="1:22" x14ac:dyDescent="0.45">
      <c r="A237" s="42"/>
      <c r="B237" s="77" t="s">
        <v>180</v>
      </c>
      <c r="C237" s="77" t="s">
        <v>182</v>
      </c>
      <c r="D237" s="78">
        <v>2006</v>
      </c>
      <c r="E237" s="78">
        <v>2006</v>
      </c>
      <c r="F237" s="78">
        <v>2593</v>
      </c>
      <c r="G237" s="78">
        <v>140</v>
      </c>
      <c r="H237" s="78">
        <v>128</v>
      </c>
      <c r="I237" s="79">
        <f t="shared" si="27"/>
        <v>136</v>
      </c>
      <c r="J237" s="79">
        <f t="shared" si="28"/>
        <v>19.066176470588236</v>
      </c>
      <c r="K237" s="79">
        <f t="shared" si="29"/>
        <v>30.96875</v>
      </c>
      <c r="L237" s="79">
        <v>55</v>
      </c>
      <c r="M237" s="79">
        <f t="shared" si="30"/>
        <v>-2.5</v>
      </c>
      <c r="N237" s="79">
        <f t="shared" si="34"/>
        <v>28.46875</v>
      </c>
      <c r="O237" s="78" t="str">
        <f t="shared" si="31"/>
        <v>T30</v>
      </c>
      <c r="P237" s="1" t="b">
        <f t="shared" si="32"/>
        <v>0</v>
      </c>
      <c r="R237" s="43" t="b">
        <v>0</v>
      </c>
      <c r="T237" s="79">
        <f t="shared" si="35"/>
        <v>-2.5</v>
      </c>
      <c r="U237" s="1" t="b">
        <f t="shared" si="33"/>
        <v>0</v>
      </c>
    </row>
    <row r="238" spans="1:22" x14ac:dyDescent="0.45">
      <c r="A238" s="42"/>
      <c r="B238" s="77" t="s">
        <v>180</v>
      </c>
      <c r="C238" s="77" t="s">
        <v>400</v>
      </c>
      <c r="D238" s="78">
        <v>1988</v>
      </c>
      <c r="E238" s="78">
        <v>1991</v>
      </c>
      <c r="F238" s="78">
        <v>2127</v>
      </c>
      <c r="G238" s="78">
        <v>70</v>
      </c>
      <c r="H238" s="78">
        <v>89</v>
      </c>
      <c r="I238" s="79">
        <f t="shared" si="27"/>
        <v>76.333333333333329</v>
      </c>
      <c r="J238" s="79">
        <f t="shared" si="28"/>
        <v>27.8646288209607</v>
      </c>
      <c r="K238" s="79">
        <f t="shared" si="29"/>
        <v>-6.4246724890829796</v>
      </c>
      <c r="L238" s="79">
        <v>50</v>
      </c>
      <c r="M238" s="79">
        <f t="shared" si="30"/>
        <v>-5</v>
      </c>
      <c r="N238" s="79">
        <f t="shared" si="34"/>
        <v>-11.42467248908298</v>
      </c>
      <c r="O238" s="78" t="str">
        <f t="shared" si="31"/>
        <v>T30</v>
      </c>
      <c r="P238" s="1" t="b">
        <f t="shared" si="32"/>
        <v>0</v>
      </c>
      <c r="R238" s="43" t="b">
        <v>0</v>
      </c>
      <c r="T238" s="79">
        <f t="shared" si="35"/>
        <v>-5</v>
      </c>
      <c r="U238" s="1" t="b">
        <f t="shared" si="33"/>
        <v>0</v>
      </c>
    </row>
    <row r="239" spans="1:22" x14ac:dyDescent="0.45">
      <c r="A239" s="42"/>
      <c r="B239" s="89" t="s">
        <v>180</v>
      </c>
      <c r="C239" s="89" t="s">
        <v>565</v>
      </c>
      <c r="D239" s="84">
        <v>1990</v>
      </c>
      <c r="E239" s="84">
        <v>1991</v>
      </c>
      <c r="F239" s="84">
        <v>2127</v>
      </c>
      <c r="G239" s="84">
        <v>92</v>
      </c>
      <c r="H239" s="84">
        <v>89</v>
      </c>
      <c r="I239" s="85">
        <f t="shared" si="27"/>
        <v>91</v>
      </c>
      <c r="J239" s="85">
        <f t="shared" si="28"/>
        <v>23.373626373626372</v>
      </c>
      <c r="K239" s="79">
        <f t="shared" si="29"/>
        <v>12.662087912087912</v>
      </c>
      <c r="L239" s="85">
        <v>50</v>
      </c>
      <c r="M239" s="79">
        <f t="shared" si="30"/>
        <v>-5</v>
      </c>
      <c r="N239" s="85">
        <f t="shared" si="34"/>
        <v>7.6620879120879124</v>
      </c>
      <c r="O239" s="78" t="str">
        <f t="shared" si="31"/>
        <v>T30</v>
      </c>
      <c r="P239" s="1" t="b">
        <f t="shared" si="32"/>
        <v>0</v>
      </c>
      <c r="R239" s="43" t="b">
        <v>0</v>
      </c>
      <c r="T239" s="79">
        <f t="shared" si="35"/>
        <v>-5</v>
      </c>
      <c r="U239" s="1" t="b">
        <f t="shared" si="33"/>
        <v>0</v>
      </c>
    </row>
    <row r="240" spans="1:22" x14ac:dyDescent="0.45">
      <c r="A240" s="42"/>
      <c r="B240" s="90" t="s">
        <v>180</v>
      </c>
      <c r="C240" s="90" t="s">
        <v>183</v>
      </c>
      <c r="D240" s="86">
        <v>1992</v>
      </c>
      <c r="E240" s="86"/>
      <c r="F240" s="86">
        <v>2326</v>
      </c>
      <c r="G240" s="86">
        <v>125</v>
      </c>
      <c r="H240" s="86">
        <v>106</v>
      </c>
      <c r="I240" s="85">
        <f t="shared" si="27"/>
        <v>118.66666666666666</v>
      </c>
      <c r="J240" s="85">
        <f t="shared" si="28"/>
        <v>19.601123595505619</v>
      </c>
      <c r="K240" s="79">
        <f t="shared" si="29"/>
        <v>28.69522471910112</v>
      </c>
      <c r="L240" s="87">
        <v>55</v>
      </c>
      <c r="M240" s="79">
        <f t="shared" si="30"/>
        <v>-2.5</v>
      </c>
      <c r="N240" s="79">
        <f t="shared" si="34"/>
        <v>26.19522471910112</v>
      </c>
      <c r="O240" s="78" t="str">
        <f t="shared" si="31"/>
        <v>T30</v>
      </c>
      <c r="P240" s="1" t="b">
        <f t="shared" si="32"/>
        <v>0</v>
      </c>
      <c r="R240" s="43" t="b">
        <v>0</v>
      </c>
      <c r="T240" s="79">
        <f t="shared" si="35"/>
        <v>-2.5</v>
      </c>
      <c r="U240" s="1" t="b">
        <f t="shared" si="33"/>
        <v>0</v>
      </c>
    </row>
    <row r="241" spans="1:22" x14ac:dyDescent="0.45">
      <c r="A241" s="42"/>
      <c r="B241" s="77" t="s">
        <v>180</v>
      </c>
      <c r="C241" s="77" t="s">
        <v>183</v>
      </c>
      <c r="D241" s="78">
        <v>2006</v>
      </c>
      <c r="E241" s="78">
        <v>2011</v>
      </c>
      <c r="F241" s="78">
        <v>2899</v>
      </c>
      <c r="G241" s="78">
        <v>192</v>
      </c>
      <c r="H241" s="78">
        <v>139</v>
      </c>
      <c r="I241" s="79">
        <f t="shared" si="27"/>
        <v>174.33333333333331</v>
      </c>
      <c r="J241" s="79">
        <f t="shared" si="28"/>
        <v>16.629063097514344</v>
      </c>
      <c r="K241" s="79">
        <f t="shared" si="29"/>
        <v>41.326481835564039</v>
      </c>
      <c r="L241" s="79">
        <v>65</v>
      </c>
      <c r="M241" s="79">
        <f t="shared" si="30"/>
        <v>2.5</v>
      </c>
      <c r="N241" s="79">
        <f t="shared" si="34"/>
        <v>43.826481835564039</v>
      </c>
      <c r="O241" s="78" t="str">
        <f t="shared" si="31"/>
        <v>T40</v>
      </c>
      <c r="P241" s="1" t="b">
        <f t="shared" si="32"/>
        <v>0</v>
      </c>
      <c r="R241" s="43" t="b">
        <v>0</v>
      </c>
      <c r="T241" s="79">
        <f t="shared" si="35"/>
        <v>2.5</v>
      </c>
      <c r="U241" s="1" t="b">
        <f t="shared" si="33"/>
        <v>0</v>
      </c>
    </row>
    <row r="242" spans="1:22" x14ac:dyDescent="0.45">
      <c r="A242" s="42"/>
      <c r="B242" s="77" t="s">
        <v>180</v>
      </c>
      <c r="C242" s="77" t="s">
        <v>183</v>
      </c>
      <c r="D242" s="78">
        <v>2012</v>
      </c>
      <c r="E242" s="78" t="s">
        <v>161</v>
      </c>
      <c r="F242" s="78">
        <v>2895</v>
      </c>
      <c r="G242" s="78">
        <v>201</v>
      </c>
      <c r="H242" s="78">
        <v>170</v>
      </c>
      <c r="I242" s="79">
        <f t="shared" si="27"/>
        <v>190.66666666666666</v>
      </c>
      <c r="J242" s="79">
        <f t="shared" si="28"/>
        <v>15.183566433566435</v>
      </c>
      <c r="K242" s="79">
        <f t="shared" si="29"/>
        <v>47.469842657342653</v>
      </c>
      <c r="L242" s="79">
        <v>65</v>
      </c>
      <c r="M242" s="79">
        <f t="shared" si="30"/>
        <v>2.5</v>
      </c>
      <c r="N242" s="79">
        <f t="shared" si="34"/>
        <v>49.969842657342653</v>
      </c>
      <c r="O242" s="78" t="str">
        <f t="shared" si="31"/>
        <v>T50</v>
      </c>
      <c r="P242" s="1" t="b">
        <f t="shared" si="32"/>
        <v>0</v>
      </c>
      <c r="R242" s="43" t="b">
        <v>0</v>
      </c>
      <c r="T242" s="79">
        <f t="shared" si="35"/>
        <v>2.5</v>
      </c>
      <c r="U242" s="1" t="b">
        <f t="shared" si="33"/>
        <v>0</v>
      </c>
    </row>
    <row r="243" spans="1:22" x14ac:dyDescent="0.45">
      <c r="A243" s="42"/>
      <c r="B243" s="77" t="s">
        <v>180</v>
      </c>
      <c r="C243" s="77" t="s">
        <v>665</v>
      </c>
      <c r="D243" s="78">
        <v>2017</v>
      </c>
      <c r="E243" s="78"/>
      <c r="F243" s="78">
        <v>3150</v>
      </c>
      <c r="G243" s="78">
        <v>306</v>
      </c>
      <c r="H243" s="78">
        <v>295</v>
      </c>
      <c r="I243" s="79">
        <f t="shared" si="27"/>
        <v>302.33333333333331</v>
      </c>
      <c r="J243" s="79">
        <f t="shared" si="28"/>
        <v>10.41896361631753</v>
      </c>
      <c r="K243" s="79">
        <f t="shared" si="29"/>
        <v>67.719404630650502</v>
      </c>
      <c r="L243" s="79">
        <v>85</v>
      </c>
      <c r="M243" s="79">
        <f t="shared" si="30"/>
        <v>12.5</v>
      </c>
      <c r="N243" s="79">
        <f t="shared" si="34"/>
        <v>80.219404630650502</v>
      </c>
      <c r="O243" s="78" t="str">
        <f t="shared" si="31"/>
        <v>T80</v>
      </c>
      <c r="P243" s="1" t="b">
        <f t="shared" si="32"/>
        <v>0</v>
      </c>
      <c r="R243" s="43" t="b">
        <v>0</v>
      </c>
      <c r="T243" s="79">
        <f t="shared" si="35"/>
        <v>12.5</v>
      </c>
      <c r="U243" s="1" t="b">
        <f t="shared" si="33"/>
        <v>0</v>
      </c>
    </row>
    <row r="244" spans="1:22" x14ac:dyDescent="0.45">
      <c r="A244" s="42"/>
      <c r="B244" s="77" t="s">
        <v>180</v>
      </c>
      <c r="C244" s="77" t="s">
        <v>546</v>
      </c>
      <c r="D244" s="78">
        <v>1987</v>
      </c>
      <c r="E244" s="78">
        <v>1987</v>
      </c>
      <c r="F244" s="78">
        <v>1953</v>
      </c>
      <c r="G244" s="78">
        <v>91</v>
      </c>
      <c r="H244" s="78">
        <v>93</v>
      </c>
      <c r="I244" s="79">
        <f t="shared" si="27"/>
        <v>91.666666666666657</v>
      </c>
      <c r="J244" s="79">
        <f t="shared" si="28"/>
        <v>21.305454545454548</v>
      </c>
      <c r="K244" s="79">
        <f t="shared" si="29"/>
        <v>21.451818181818169</v>
      </c>
      <c r="L244" s="79">
        <v>55</v>
      </c>
      <c r="M244" s="79">
        <f t="shared" si="30"/>
        <v>-2.5</v>
      </c>
      <c r="N244" s="79">
        <f t="shared" si="34"/>
        <v>18.951818181818169</v>
      </c>
      <c r="O244" s="78" t="str">
        <f t="shared" si="31"/>
        <v>T30</v>
      </c>
      <c r="P244" s="1" t="b">
        <f t="shared" si="32"/>
        <v>0</v>
      </c>
      <c r="R244" s="43" t="b">
        <v>0</v>
      </c>
      <c r="T244" s="79">
        <f t="shared" si="35"/>
        <v>-2.5</v>
      </c>
      <c r="U244" s="1" t="b">
        <f t="shared" si="33"/>
        <v>0</v>
      </c>
    </row>
    <row r="245" spans="1:22" x14ac:dyDescent="0.45">
      <c r="A245" s="42"/>
      <c r="B245" s="77" t="s">
        <v>180</v>
      </c>
      <c r="C245" s="77" t="s">
        <v>184</v>
      </c>
      <c r="D245" s="78">
        <v>1985</v>
      </c>
      <c r="E245" s="78">
        <v>1986</v>
      </c>
      <c r="F245" s="78">
        <v>1883</v>
      </c>
      <c r="G245" s="78">
        <v>108</v>
      </c>
      <c r="H245" s="78">
        <v>100</v>
      </c>
      <c r="I245" s="79">
        <f t="shared" si="27"/>
        <v>105.33333333333333</v>
      </c>
      <c r="J245" s="79">
        <f t="shared" si="28"/>
        <v>17.876582278481013</v>
      </c>
      <c r="K245" s="79">
        <f t="shared" si="29"/>
        <v>36.024525316455694</v>
      </c>
      <c r="L245" s="79">
        <v>55</v>
      </c>
      <c r="M245" s="79">
        <f t="shared" si="30"/>
        <v>-2.5</v>
      </c>
      <c r="N245" s="79">
        <f t="shared" si="34"/>
        <v>33.524525316455694</v>
      </c>
      <c r="O245" s="78" t="str">
        <f t="shared" si="31"/>
        <v>T30</v>
      </c>
      <c r="P245" s="1" t="b">
        <f t="shared" si="32"/>
        <v>0</v>
      </c>
      <c r="R245" s="43" t="b">
        <v>0</v>
      </c>
      <c r="T245" s="79">
        <f t="shared" si="35"/>
        <v>-2.5</v>
      </c>
      <c r="U245" s="1" t="b">
        <f t="shared" si="33"/>
        <v>0</v>
      </c>
    </row>
    <row r="246" spans="1:22" x14ac:dyDescent="0.45">
      <c r="A246" s="42"/>
      <c r="B246" s="77" t="s">
        <v>180</v>
      </c>
      <c r="C246" s="77" t="s">
        <v>184</v>
      </c>
      <c r="D246" s="78">
        <v>1988</v>
      </c>
      <c r="E246" s="78">
        <v>1988</v>
      </c>
      <c r="F246" s="78">
        <v>2011</v>
      </c>
      <c r="G246" s="78">
        <v>108</v>
      </c>
      <c r="H246" s="78">
        <v>100</v>
      </c>
      <c r="I246" s="79">
        <f t="shared" si="27"/>
        <v>105.33333333333333</v>
      </c>
      <c r="J246" s="79">
        <f t="shared" si="28"/>
        <v>19.091772151898734</v>
      </c>
      <c r="K246" s="79">
        <f t="shared" si="29"/>
        <v>30.859968354430379</v>
      </c>
      <c r="L246" s="79">
        <v>55</v>
      </c>
      <c r="M246" s="79">
        <f t="shared" si="30"/>
        <v>-2.5</v>
      </c>
      <c r="N246" s="79">
        <f t="shared" si="34"/>
        <v>28.359968354430379</v>
      </c>
      <c r="O246" s="78" t="str">
        <f t="shared" si="31"/>
        <v>T30</v>
      </c>
      <c r="P246" s="1" t="b">
        <f t="shared" si="32"/>
        <v>0</v>
      </c>
      <c r="R246" s="43" t="b">
        <v>0</v>
      </c>
      <c r="T246" s="79">
        <f t="shared" si="35"/>
        <v>-2.5</v>
      </c>
      <c r="U246" s="1" t="b">
        <f t="shared" si="33"/>
        <v>0</v>
      </c>
    </row>
    <row r="247" spans="1:22" x14ac:dyDescent="0.45">
      <c r="A247" s="42"/>
      <c r="B247" s="77" t="s">
        <v>180</v>
      </c>
      <c r="C247" s="77" t="s">
        <v>185</v>
      </c>
      <c r="D247" s="78">
        <v>1999</v>
      </c>
      <c r="E247" s="78">
        <v>2003</v>
      </c>
      <c r="F247" s="78">
        <v>2870</v>
      </c>
      <c r="G247" s="78">
        <v>240</v>
      </c>
      <c r="H247" s="78">
        <v>153</v>
      </c>
      <c r="I247" s="79">
        <f t="shared" si="27"/>
        <v>211</v>
      </c>
      <c r="J247" s="79">
        <f t="shared" si="28"/>
        <v>13.601895734597157</v>
      </c>
      <c r="K247" s="79">
        <f t="shared" si="29"/>
        <v>54.191943127962084</v>
      </c>
      <c r="L247" s="79">
        <v>75</v>
      </c>
      <c r="M247" s="79">
        <f t="shared" si="30"/>
        <v>7.5</v>
      </c>
      <c r="N247" s="79">
        <f t="shared" si="34"/>
        <v>61.691943127962084</v>
      </c>
      <c r="O247" s="78" t="str">
        <f t="shared" si="31"/>
        <v>T60</v>
      </c>
      <c r="P247" s="1" t="b">
        <f t="shared" si="32"/>
        <v>0</v>
      </c>
      <c r="R247" s="43" t="b">
        <v>0</v>
      </c>
      <c r="T247" s="79">
        <f t="shared" si="35"/>
        <v>7.5</v>
      </c>
      <c r="U247" s="1" t="b">
        <f t="shared" si="33"/>
        <v>0</v>
      </c>
    </row>
    <row r="248" spans="1:22" x14ac:dyDescent="0.45">
      <c r="A248" s="42"/>
      <c r="B248" s="77" t="s">
        <v>180</v>
      </c>
      <c r="C248" s="77" t="s">
        <v>186</v>
      </c>
      <c r="D248" s="78">
        <v>2004</v>
      </c>
      <c r="E248" s="78">
        <v>2009</v>
      </c>
      <c r="F248" s="78">
        <v>2870</v>
      </c>
      <c r="G248" s="78">
        <v>237</v>
      </c>
      <c r="H248" s="78">
        <v>162</v>
      </c>
      <c r="I248" s="79">
        <f t="shared" si="27"/>
        <v>212</v>
      </c>
      <c r="J248" s="79">
        <f t="shared" si="28"/>
        <v>13.537735849056604</v>
      </c>
      <c r="K248" s="79">
        <f t="shared" si="29"/>
        <v>54.464622641509429</v>
      </c>
      <c r="L248" s="79">
        <v>80</v>
      </c>
      <c r="M248" s="79">
        <f t="shared" si="30"/>
        <v>10</v>
      </c>
      <c r="N248" s="79">
        <f t="shared" si="34"/>
        <v>64.464622641509436</v>
      </c>
      <c r="O248" s="78" t="str">
        <f t="shared" si="31"/>
        <v>T60</v>
      </c>
      <c r="P248" s="1" t="b">
        <f t="shared" si="32"/>
        <v>0</v>
      </c>
      <c r="R248" s="43" t="b">
        <v>0</v>
      </c>
      <c r="T248" s="79">
        <f t="shared" si="35"/>
        <v>10</v>
      </c>
      <c r="U248" s="1" t="b">
        <f t="shared" si="33"/>
        <v>0</v>
      </c>
    </row>
    <row r="249" spans="1:22" x14ac:dyDescent="0.45">
      <c r="A249" s="42"/>
      <c r="B249" s="77" t="s">
        <v>180</v>
      </c>
      <c r="C249" s="77" t="s">
        <v>695</v>
      </c>
      <c r="D249" s="78">
        <v>2008</v>
      </c>
      <c r="E249" s="78">
        <v>2009</v>
      </c>
      <c r="F249" s="78">
        <v>2765</v>
      </c>
      <c r="G249" s="78">
        <v>237</v>
      </c>
      <c r="H249" s="78">
        <v>162</v>
      </c>
      <c r="I249" s="79">
        <f t="shared" si="27"/>
        <v>212</v>
      </c>
      <c r="J249" s="79">
        <f t="shared" si="28"/>
        <v>13.04245283018868</v>
      </c>
      <c r="K249" s="79">
        <f t="shared" si="29"/>
        <v>56.569575471698116</v>
      </c>
      <c r="L249" s="79">
        <v>85</v>
      </c>
      <c r="M249" s="79">
        <f t="shared" si="30"/>
        <v>12.5</v>
      </c>
      <c r="N249" s="79">
        <f t="shared" si="34"/>
        <v>69.069575471698116</v>
      </c>
      <c r="O249" s="78" t="str">
        <f t="shared" si="31"/>
        <v>T60</v>
      </c>
      <c r="P249" s="1" t="b">
        <f t="shared" si="32"/>
        <v>0</v>
      </c>
      <c r="R249" s="43" t="b">
        <v>0</v>
      </c>
      <c r="T249" s="79">
        <f t="shared" si="35"/>
        <v>12.5</v>
      </c>
      <c r="U249" s="1" t="b">
        <f t="shared" si="33"/>
        <v>0</v>
      </c>
    </row>
    <row r="250" spans="1:22" x14ac:dyDescent="0.45">
      <c r="A250" s="42"/>
      <c r="B250" s="77" t="s">
        <v>187</v>
      </c>
      <c r="C250" s="77" t="s">
        <v>188</v>
      </c>
      <c r="D250" s="78">
        <v>2010</v>
      </c>
      <c r="E250" s="78">
        <v>2011</v>
      </c>
      <c r="F250" s="78">
        <v>3315</v>
      </c>
      <c r="G250" s="78">
        <v>210</v>
      </c>
      <c r="H250" s="78">
        <v>217</v>
      </c>
      <c r="I250" s="79">
        <f t="shared" si="27"/>
        <v>212.33333333333331</v>
      </c>
      <c r="J250" s="79">
        <f t="shared" si="28"/>
        <v>15.612244897959185</v>
      </c>
      <c r="K250" s="79">
        <f t="shared" si="29"/>
        <v>45.647959183673464</v>
      </c>
      <c r="L250" s="79">
        <v>75</v>
      </c>
      <c r="M250" s="79">
        <f t="shared" si="30"/>
        <v>7.5</v>
      </c>
      <c r="N250" s="79">
        <f t="shared" si="34"/>
        <v>53.147959183673464</v>
      </c>
      <c r="O250" s="78" t="str">
        <f t="shared" si="31"/>
        <v>T50</v>
      </c>
      <c r="P250" s="1" t="b">
        <f t="shared" si="32"/>
        <v>0</v>
      </c>
      <c r="R250" s="43" t="b">
        <v>0</v>
      </c>
      <c r="T250" s="79">
        <f t="shared" si="35"/>
        <v>7.5</v>
      </c>
      <c r="U250" s="1" t="b">
        <f t="shared" si="33"/>
        <v>0</v>
      </c>
      <c r="V250" s="46"/>
    </row>
    <row r="251" spans="1:22" x14ac:dyDescent="0.45">
      <c r="A251" s="42"/>
      <c r="B251" s="77" t="s">
        <v>187</v>
      </c>
      <c r="C251" s="77" t="s">
        <v>749</v>
      </c>
      <c r="D251" s="78">
        <v>2010</v>
      </c>
      <c r="E251" s="78">
        <v>2012</v>
      </c>
      <c r="F251" s="78">
        <v>3300</v>
      </c>
      <c r="G251" s="78">
        <v>210</v>
      </c>
      <c r="H251" s="78">
        <v>235</v>
      </c>
      <c r="I251" s="79">
        <f t="shared" si="27"/>
        <v>218.33333333333331</v>
      </c>
      <c r="J251" s="79">
        <f t="shared" si="28"/>
        <v>15.114503816793894</v>
      </c>
      <c r="K251" s="79">
        <f t="shared" si="29"/>
        <v>47.763358778625957</v>
      </c>
      <c r="L251" s="79">
        <v>70</v>
      </c>
      <c r="M251" s="79">
        <f t="shared" si="30"/>
        <v>5</v>
      </c>
      <c r="N251" s="79">
        <f t="shared" si="34"/>
        <v>52.763358778625957</v>
      </c>
      <c r="O251" s="78" t="str">
        <f t="shared" si="31"/>
        <v>T50</v>
      </c>
      <c r="P251" s="1" t="b">
        <f t="shared" si="32"/>
        <v>0</v>
      </c>
      <c r="R251" s="43" t="b">
        <v>0</v>
      </c>
      <c r="T251" s="79">
        <f t="shared" si="35"/>
        <v>5</v>
      </c>
      <c r="U251" s="1" t="b">
        <f t="shared" si="33"/>
        <v>0</v>
      </c>
      <c r="V251" s="46"/>
    </row>
    <row r="252" spans="1:22" x14ac:dyDescent="0.45">
      <c r="A252" s="42"/>
      <c r="B252" s="77" t="s">
        <v>187</v>
      </c>
      <c r="C252" s="77" t="s">
        <v>749</v>
      </c>
      <c r="D252" s="78">
        <v>2013</v>
      </c>
      <c r="E252" s="78">
        <v>2015</v>
      </c>
      <c r="F252" s="78">
        <v>3300</v>
      </c>
      <c r="G252" s="78">
        <v>275</v>
      </c>
      <c r="H252" s="78">
        <v>275</v>
      </c>
      <c r="I252" s="79">
        <f t="shared" si="27"/>
        <v>275</v>
      </c>
      <c r="J252" s="79">
        <f t="shared" si="28"/>
        <v>12</v>
      </c>
      <c r="K252" s="79">
        <f t="shared" si="29"/>
        <v>61</v>
      </c>
      <c r="L252" s="79">
        <v>70</v>
      </c>
      <c r="M252" s="79">
        <f t="shared" si="30"/>
        <v>5</v>
      </c>
      <c r="N252" s="79">
        <f t="shared" si="34"/>
        <v>66</v>
      </c>
      <c r="O252" s="78" t="str">
        <f t="shared" si="31"/>
        <v>T60</v>
      </c>
      <c r="P252" s="1" t="b">
        <f t="shared" si="32"/>
        <v>0</v>
      </c>
      <c r="R252" s="43" t="b">
        <v>0</v>
      </c>
      <c r="T252" s="79">
        <f t="shared" si="35"/>
        <v>5</v>
      </c>
      <c r="U252" s="1" t="b">
        <f t="shared" si="33"/>
        <v>0</v>
      </c>
      <c r="V252" s="46"/>
    </row>
    <row r="253" spans="1:22" x14ac:dyDescent="0.45">
      <c r="A253" s="42"/>
      <c r="B253" s="77" t="s">
        <v>187</v>
      </c>
      <c r="C253" s="77" t="s">
        <v>750</v>
      </c>
      <c r="D253" s="78">
        <v>2013</v>
      </c>
      <c r="E253" s="78">
        <v>2016</v>
      </c>
      <c r="F253" s="78">
        <v>3389</v>
      </c>
      <c r="G253" s="78">
        <v>348</v>
      </c>
      <c r="H253" s="78">
        <v>295</v>
      </c>
      <c r="I253" s="79">
        <f t="shared" si="27"/>
        <v>330.33333333333331</v>
      </c>
      <c r="J253" s="79">
        <f t="shared" si="28"/>
        <v>10.259334006054491</v>
      </c>
      <c r="K253" s="79">
        <f t="shared" si="29"/>
        <v>68.397830474268403</v>
      </c>
      <c r="L253" s="79">
        <v>70</v>
      </c>
      <c r="M253" s="79">
        <f t="shared" si="30"/>
        <v>5</v>
      </c>
      <c r="N253" s="79">
        <f t="shared" si="34"/>
        <v>73.397830474268403</v>
      </c>
      <c r="O253" s="78" t="str">
        <f t="shared" si="31"/>
        <v>T70</v>
      </c>
      <c r="P253" s="1" t="b">
        <f t="shared" si="32"/>
        <v>0</v>
      </c>
      <c r="R253" s="43" t="b">
        <v>0</v>
      </c>
      <c r="T253" s="79">
        <f t="shared" si="35"/>
        <v>5</v>
      </c>
      <c r="U253" s="1" t="b">
        <f t="shared" si="33"/>
        <v>0</v>
      </c>
      <c r="V253" s="46"/>
    </row>
    <row r="254" spans="1:22" x14ac:dyDescent="0.45">
      <c r="A254" s="42"/>
      <c r="B254" s="77" t="s">
        <v>187</v>
      </c>
      <c r="C254" s="77" t="s">
        <v>720</v>
      </c>
      <c r="D254" s="78">
        <v>2011</v>
      </c>
      <c r="E254" s="78">
        <v>2012</v>
      </c>
      <c r="F254" s="78">
        <v>3389</v>
      </c>
      <c r="G254" s="78">
        <v>306</v>
      </c>
      <c r="H254" s="78">
        <v>266</v>
      </c>
      <c r="I254" s="79">
        <f t="shared" si="27"/>
        <v>292.66666666666663</v>
      </c>
      <c r="J254" s="79">
        <f t="shared" si="28"/>
        <v>11.579726651480639</v>
      </c>
      <c r="K254" s="79">
        <f t="shared" si="29"/>
        <v>62.786161731207287</v>
      </c>
      <c r="L254" s="79">
        <v>80</v>
      </c>
      <c r="M254" s="79">
        <f t="shared" si="30"/>
        <v>10</v>
      </c>
      <c r="N254" s="79">
        <f t="shared" si="34"/>
        <v>72.786161731207287</v>
      </c>
      <c r="O254" s="78" t="str">
        <f t="shared" si="31"/>
        <v>T70</v>
      </c>
      <c r="P254" s="1" t="b">
        <f t="shared" si="32"/>
        <v>0</v>
      </c>
      <c r="R254" s="43" t="b">
        <v>0</v>
      </c>
      <c r="T254" s="79">
        <f t="shared" si="35"/>
        <v>10</v>
      </c>
      <c r="U254" s="1" t="b">
        <f t="shared" si="33"/>
        <v>0</v>
      </c>
    </row>
    <row r="255" spans="1:22" x14ac:dyDescent="0.45">
      <c r="A255" s="42"/>
      <c r="B255" s="77" t="s">
        <v>187</v>
      </c>
      <c r="C255" s="77" t="s">
        <v>664</v>
      </c>
      <c r="D255" s="78">
        <v>2019</v>
      </c>
      <c r="E255" s="78"/>
      <c r="F255" s="78">
        <v>3036</v>
      </c>
      <c r="G255" s="78">
        <v>250</v>
      </c>
      <c r="H255" s="78">
        <v>260</v>
      </c>
      <c r="I255" s="79">
        <f t="shared" si="27"/>
        <v>253.33333333333331</v>
      </c>
      <c r="J255" s="79">
        <f t="shared" si="28"/>
        <v>11.98421052631579</v>
      </c>
      <c r="K255" s="79">
        <f t="shared" si="29"/>
        <v>61.067105263157892</v>
      </c>
      <c r="L255" s="79">
        <v>70</v>
      </c>
      <c r="M255" s="79">
        <f t="shared" si="30"/>
        <v>5</v>
      </c>
      <c r="N255" s="79">
        <f t="shared" si="34"/>
        <v>66.067105263157885</v>
      </c>
      <c r="O255" s="78" t="str">
        <f t="shared" si="31"/>
        <v>T60</v>
      </c>
      <c r="P255" s="1" t="b">
        <f t="shared" si="32"/>
        <v>0</v>
      </c>
      <c r="R255" s="43" t="b">
        <v>0</v>
      </c>
      <c r="T255" s="79">
        <f t="shared" si="35"/>
        <v>5</v>
      </c>
      <c r="U255" s="1" t="b">
        <f t="shared" si="33"/>
        <v>0</v>
      </c>
    </row>
    <row r="256" spans="1:22" x14ac:dyDescent="0.45">
      <c r="A256" s="42"/>
      <c r="B256" s="77" t="s">
        <v>187</v>
      </c>
      <c r="C256" s="77" t="s">
        <v>666</v>
      </c>
      <c r="D256" s="78">
        <v>2019</v>
      </c>
      <c r="E256" s="78"/>
      <c r="F256" s="78">
        <v>3036</v>
      </c>
      <c r="G256" s="78">
        <v>275</v>
      </c>
      <c r="H256" s="78">
        <v>260</v>
      </c>
      <c r="I256" s="79">
        <f t="shared" si="27"/>
        <v>270</v>
      </c>
      <c r="J256" s="79">
        <f t="shared" si="28"/>
        <v>11.244444444444444</v>
      </c>
      <c r="K256" s="79">
        <f t="shared" si="29"/>
        <v>64.211111111111109</v>
      </c>
      <c r="L256" s="79">
        <v>75</v>
      </c>
      <c r="M256" s="79">
        <f t="shared" si="30"/>
        <v>7.5</v>
      </c>
      <c r="N256" s="79">
        <f t="shared" si="34"/>
        <v>71.711111111111109</v>
      </c>
      <c r="O256" s="78" t="str">
        <f t="shared" si="31"/>
        <v>T70</v>
      </c>
      <c r="P256" s="1" t="b">
        <f t="shared" si="32"/>
        <v>0</v>
      </c>
      <c r="R256" s="43" t="b">
        <v>0</v>
      </c>
      <c r="T256" s="79">
        <f t="shared" si="35"/>
        <v>7.5</v>
      </c>
      <c r="U256" s="1" t="b">
        <f t="shared" si="33"/>
        <v>0</v>
      </c>
    </row>
    <row r="257" spans="1:22" x14ac:dyDescent="0.45">
      <c r="A257" s="42"/>
      <c r="B257" s="77" t="s">
        <v>189</v>
      </c>
      <c r="C257" s="77" t="s">
        <v>190</v>
      </c>
      <c r="D257" s="78">
        <v>2003</v>
      </c>
      <c r="E257" s="78">
        <v>2006</v>
      </c>
      <c r="F257" s="78">
        <v>3420</v>
      </c>
      <c r="G257" s="78">
        <v>280</v>
      </c>
      <c r="H257" s="78">
        <v>269</v>
      </c>
      <c r="I257" s="79">
        <f t="shared" si="27"/>
        <v>276.33333333333331</v>
      </c>
      <c r="J257" s="79">
        <f t="shared" si="28"/>
        <v>12.376357056694815</v>
      </c>
      <c r="K257" s="79">
        <f t="shared" si="29"/>
        <v>59.400482509047038</v>
      </c>
      <c r="L257" s="79">
        <v>65</v>
      </c>
      <c r="M257" s="79">
        <f t="shared" si="30"/>
        <v>2.5</v>
      </c>
      <c r="N257" s="79">
        <f t="shared" si="34"/>
        <v>61.900482509047038</v>
      </c>
      <c r="O257" s="78" t="str">
        <f t="shared" si="31"/>
        <v>T60</v>
      </c>
      <c r="P257" s="1" t="b">
        <f t="shared" si="32"/>
        <v>0</v>
      </c>
      <c r="R257" s="43" t="b">
        <v>0</v>
      </c>
      <c r="T257" s="79">
        <f t="shared" si="35"/>
        <v>2.5</v>
      </c>
      <c r="U257" s="1" t="b">
        <f t="shared" si="33"/>
        <v>0</v>
      </c>
    </row>
    <row r="258" spans="1:22" x14ac:dyDescent="0.45">
      <c r="A258" s="42"/>
      <c r="B258" s="77" t="s">
        <v>401</v>
      </c>
      <c r="C258" s="77" t="s">
        <v>725</v>
      </c>
      <c r="D258" s="78">
        <v>2015</v>
      </c>
      <c r="E258" s="78">
        <v>2016</v>
      </c>
      <c r="F258" s="78">
        <v>3514</v>
      </c>
      <c r="G258" s="78">
        <v>380</v>
      </c>
      <c r="H258" s="78">
        <v>339</v>
      </c>
      <c r="I258" s="79">
        <f t="shared" si="27"/>
        <v>366.33333333333331</v>
      </c>
      <c r="J258" s="79">
        <f t="shared" si="28"/>
        <v>9.5923566878980893</v>
      </c>
      <c r="K258" s="79">
        <f t="shared" si="29"/>
        <v>71.232484076433124</v>
      </c>
      <c r="L258" s="79">
        <v>75</v>
      </c>
      <c r="M258" s="79">
        <f t="shared" si="30"/>
        <v>7.5</v>
      </c>
      <c r="N258" s="79">
        <f t="shared" si="34"/>
        <v>78.732484076433124</v>
      </c>
      <c r="O258" s="78" t="str">
        <f t="shared" si="31"/>
        <v>T70</v>
      </c>
      <c r="P258" s="1" t="b">
        <f t="shared" si="32"/>
        <v>0</v>
      </c>
      <c r="R258" s="43" t="b">
        <v>0</v>
      </c>
      <c r="T258" s="79">
        <f t="shared" si="35"/>
        <v>7.5</v>
      </c>
      <c r="U258" s="1" t="b">
        <f t="shared" si="33"/>
        <v>0</v>
      </c>
      <c r="V258" s="46"/>
    </row>
    <row r="259" spans="1:22" x14ac:dyDescent="0.45">
      <c r="A259" s="42"/>
      <c r="B259" s="77" t="s">
        <v>401</v>
      </c>
      <c r="C259" s="77" t="s">
        <v>728</v>
      </c>
      <c r="D259" s="78">
        <v>2005</v>
      </c>
      <c r="E259" s="78">
        <v>2005</v>
      </c>
      <c r="F259" s="78">
        <v>3747</v>
      </c>
      <c r="G259" s="78">
        <v>227</v>
      </c>
      <c r="H259" s="78">
        <v>206</v>
      </c>
      <c r="I259" s="79">
        <f t="shared" si="27"/>
        <v>219.99999999999997</v>
      </c>
      <c r="J259" s="79">
        <f t="shared" si="28"/>
        <v>17.031818181818185</v>
      </c>
      <c r="K259" s="79">
        <f t="shared" si="29"/>
        <v>39.614772727272708</v>
      </c>
      <c r="L259" s="79">
        <v>60</v>
      </c>
      <c r="M259" s="79">
        <f t="shared" si="30"/>
        <v>0</v>
      </c>
      <c r="N259" s="79">
        <f t="shared" si="34"/>
        <v>39.614772727272708</v>
      </c>
      <c r="O259" s="78" t="str">
        <f t="shared" si="31"/>
        <v>T30</v>
      </c>
      <c r="P259" s="1" t="b">
        <f t="shared" si="32"/>
        <v>0</v>
      </c>
      <c r="R259" s="43" t="b">
        <v>0</v>
      </c>
      <c r="T259" s="79">
        <f t="shared" si="35"/>
        <v>0</v>
      </c>
      <c r="U259" s="1" t="b">
        <f t="shared" si="33"/>
        <v>0</v>
      </c>
      <c r="V259" s="46"/>
    </row>
    <row r="260" spans="1:22" x14ac:dyDescent="0.45">
      <c r="A260" s="42"/>
      <c r="B260" s="77" t="s">
        <v>401</v>
      </c>
      <c r="C260" s="77" t="s">
        <v>402</v>
      </c>
      <c r="D260" s="78">
        <v>2003</v>
      </c>
      <c r="E260" s="78">
        <v>2006</v>
      </c>
      <c r="F260" s="78">
        <v>3785</v>
      </c>
      <c r="G260" s="78">
        <v>390</v>
      </c>
      <c r="H260" s="78">
        <v>399</v>
      </c>
      <c r="I260" s="79">
        <f t="shared" si="27"/>
        <v>393</v>
      </c>
      <c r="J260" s="79">
        <f t="shared" si="28"/>
        <v>9.6310432569974562</v>
      </c>
      <c r="K260" s="79">
        <f t="shared" si="29"/>
        <v>71.068066157760811</v>
      </c>
      <c r="L260" s="79">
        <v>65</v>
      </c>
      <c r="M260" s="79">
        <f t="shared" si="30"/>
        <v>2.5</v>
      </c>
      <c r="N260" s="79">
        <f t="shared" si="34"/>
        <v>73.568066157760811</v>
      </c>
      <c r="O260" s="78" t="str">
        <f t="shared" si="31"/>
        <v>T70</v>
      </c>
      <c r="P260" s="1" t="b">
        <f t="shared" si="32"/>
        <v>0</v>
      </c>
      <c r="R260" s="43" t="b">
        <v>0</v>
      </c>
      <c r="T260" s="79">
        <f t="shared" si="35"/>
        <v>2.5</v>
      </c>
      <c r="U260" s="1" t="b">
        <f t="shared" si="33"/>
        <v>0</v>
      </c>
    </row>
    <row r="261" spans="1:22" x14ac:dyDescent="0.45">
      <c r="A261" s="42"/>
      <c r="B261" s="77" t="s">
        <v>401</v>
      </c>
      <c r="C261" s="77" t="s">
        <v>403</v>
      </c>
      <c r="D261" s="78">
        <v>2006</v>
      </c>
      <c r="E261" s="78"/>
      <c r="F261" s="78">
        <v>3968</v>
      </c>
      <c r="G261" s="78">
        <v>550</v>
      </c>
      <c r="H261" s="78">
        <v>502</v>
      </c>
      <c r="I261" s="79">
        <f t="shared" si="27"/>
        <v>534</v>
      </c>
      <c r="J261" s="79">
        <f t="shared" si="28"/>
        <v>7.4307116104868918</v>
      </c>
      <c r="K261" s="79">
        <f t="shared" si="29"/>
        <v>80.419475655430716</v>
      </c>
      <c r="L261" s="79">
        <v>70</v>
      </c>
      <c r="M261" s="79">
        <f t="shared" si="30"/>
        <v>5</v>
      </c>
      <c r="N261" s="79">
        <f t="shared" si="34"/>
        <v>85.419475655430716</v>
      </c>
      <c r="O261" s="78" t="str">
        <f t="shared" si="31"/>
        <v>T80</v>
      </c>
      <c r="P261" s="1" t="b">
        <f t="shared" si="32"/>
        <v>0</v>
      </c>
      <c r="R261" s="43" t="b">
        <v>0</v>
      </c>
      <c r="T261" s="79">
        <f t="shared" si="35"/>
        <v>5</v>
      </c>
      <c r="U261" s="1" t="b">
        <f t="shared" si="33"/>
        <v>0</v>
      </c>
    </row>
    <row r="262" spans="1:22" x14ac:dyDescent="0.45">
      <c r="A262" s="42"/>
      <c r="B262" s="77" t="s">
        <v>404</v>
      </c>
      <c r="C262" s="77" t="s">
        <v>405</v>
      </c>
      <c r="D262" s="78">
        <v>2011</v>
      </c>
      <c r="E262" s="78"/>
      <c r="F262" s="78">
        <v>3470</v>
      </c>
      <c r="G262" s="78">
        <v>690</v>
      </c>
      <c r="H262" s="78">
        <v>510</v>
      </c>
      <c r="I262" s="79">
        <f t="shared" si="27"/>
        <v>630</v>
      </c>
      <c r="J262" s="79">
        <f t="shared" si="28"/>
        <v>5.5079365079365079</v>
      </c>
      <c r="K262" s="79">
        <f t="shared" si="29"/>
        <v>88.591269841269849</v>
      </c>
      <c r="L262" s="79">
        <v>90</v>
      </c>
      <c r="M262" s="79">
        <f t="shared" si="30"/>
        <v>15</v>
      </c>
      <c r="N262" s="79">
        <f t="shared" si="34"/>
        <v>103.59126984126985</v>
      </c>
      <c r="O262" s="78" t="str">
        <f t="shared" si="31"/>
        <v>T100</v>
      </c>
      <c r="P262" s="1" t="b">
        <f t="shared" si="32"/>
        <v>0</v>
      </c>
      <c r="R262" s="43" t="b">
        <v>0</v>
      </c>
      <c r="T262" s="79">
        <f t="shared" si="35"/>
        <v>15</v>
      </c>
      <c r="U262" s="1" t="b">
        <f t="shared" si="33"/>
        <v>0</v>
      </c>
    </row>
    <row r="263" spans="1:22" x14ac:dyDescent="0.45">
      <c r="A263" s="42"/>
      <c r="B263" s="77" t="s">
        <v>404</v>
      </c>
      <c r="C263" s="77" t="s">
        <v>406</v>
      </c>
      <c r="D263" s="78">
        <v>2012</v>
      </c>
      <c r="E263" s="78"/>
      <c r="F263" s="78">
        <v>3109</v>
      </c>
      <c r="G263" s="78">
        <v>552</v>
      </c>
      <c r="H263" s="78">
        <v>398</v>
      </c>
      <c r="I263" s="79">
        <f t="shared" si="27"/>
        <v>500.66666666666663</v>
      </c>
      <c r="J263" s="79">
        <f t="shared" si="28"/>
        <v>6.2097203728362187</v>
      </c>
      <c r="K263" s="79">
        <f t="shared" si="29"/>
        <v>85.608688415446068</v>
      </c>
      <c r="L263" s="79">
        <v>90</v>
      </c>
      <c r="M263" s="79">
        <f t="shared" si="30"/>
        <v>15</v>
      </c>
      <c r="N263" s="79">
        <f t="shared" si="34"/>
        <v>100.60868841544607</v>
      </c>
      <c r="O263" s="78" t="str">
        <f t="shared" si="31"/>
        <v>T100</v>
      </c>
      <c r="P263" s="1" t="b">
        <f t="shared" si="32"/>
        <v>0</v>
      </c>
      <c r="R263" s="43" t="b">
        <v>0</v>
      </c>
      <c r="T263" s="79">
        <f t="shared" si="35"/>
        <v>15</v>
      </c>
      <c r="U263" s="1" t="b">
        <f t="shared" si="33"/>
        <v>0</v>
      </c>
    </row>
    <row r="264" spans="1:22" x14ac:dyDescent="0.45">
      <c r="A264" s="42"/>
      <c r="B264" s="77" t="s">
        <v>404</v>
      </c>
      <c r="C264" s="77" t="s">
        <v>407</v>
      </c>
      <c r="D264" s="78">
        <v>2009</v>
      </c>
      <c r="E264" s="78">
        <v>2010</v>
      </c>
      <c r="F264" s="78">
        <v>3671</v>
      </c>
      <c r="G264" s="78">
        <v>661</v>
      </c>
      <c r="H264" s="78">
        <v>490</v>
      </c>
      <c r="I264" s="79">
        <f t="shared" si="27"/>
        <v>604</v>
      </c>
      <c r="J264" s="79">
        <f t="shared" si="28"/>
        <v>6.0778145695364234</v>
      </c>
      <c r="K264" s="79">
        <f t="shared" si="29"/>
        <v>86.169288079470192</v>
      </c>
      <c r="L264" s="79">
        <v>90</v>
      </c>
      <c r="M264" s="79">
        <f t="shared" si="30"/>
        <v>15</v>
      </c>
      <c r="N264" s="79">
        <f t="shared" si="34"/>
        <v>101.16928807947019</v>
      </c>
      <c r="O264" s="78" t="str">
        <f t="shared" si="31"/>
        <v>T100</v>
      </c>
      <c r="P264" s="1" t="b">
        <f t="shared" si="32"/>
        <v>0</v>
      </c>
      <c r="R264" s="43" t="b">
        <v>0</v>
      </c>
      <c r="T264" s="79">
        <f t="shared" si="35"/>
        <v>15</v>
      </c>
      <c r="U264" s="1" t="b">
        <f t="shared" si="33"/>
        <v>0</v>
      </c>
    </row>
    <row r="265" spans="1:22" x14ac:dyDescent="0.45">
      <c r="A265" s="42"/>
      <c r="B265" s="91" t="s">
        <v>408</v>
      </c>
      <c r="C265" s="91" t="s">
        <v>576</v>
      </c>
      <c r="D265" s="92">
        <v>2001</v>
      </c>
      <c r="E265" s="92">
        <v>2005</v>
      </c>
      <c r="F265" s="92">
        <v>3255</v>
      </c>
      <c r="G265" s="92">
        <v>215</v>
      </c>
      <c r="H265" s="92">
        <v>218</v>
      </c>
      <c r="I265" s="121">
        <f t="shared" si="27"/>
        <v>215.99999999999997</v>
      </c>
      <c r="J265" s="121">
        <f t="shared" si="28"/>
        <v>15.069444444444446</v>
      </c>
      <c r="K265" s="79">
        <f t="shared" si="29"/>
        <v>47.9548611111111</v>
      </c>
      <c r="L265" s="93">
        <v>60</v>
      </c>
      <c r="M265" s="79">
        <f t="shared" si="30"/>
        <v>0</v>
      </c>
      <c r="N265" s="79">
        <f t="shared" si="34"/>
        <v>47.9548611111111</v>
      </c>
      <c r="O265" s="78" t="str">
        <f t="shared" si="31"/>
        <v>T40</v>
      </c>
      <c r="P265" s="1" t="b">
        <f t="shared" si="32"/>
        <v>0</v>
      </c>
      <c r="R265" s="43" t="b">
        <v>0</v>
      </c>
      <c r="T265" s="79">
        <f t="shared" si="35"/>
        <v>0</v>
      </c>
      <c r="U265" s="1" t="b">
        <f t="shared" si="33"/>
        <v>0</v>
      </c>
    </row>
    <row r="266" spans="1:22" x14ac:dyDescent="0.45">
      <c r="A266" s="42"/>
      <c r="B266" s="77" t="s">
        <v>408</v>
      </c>
      <c r="C266" s="77" t="s">
        <v>409</v>
      </c>
      <c r="D266" s="78">
        <v>2011</v>
      </c>
      <c r="E266" s="78">
        <v>2012</v>
      </c>
      <c r="F266" s="78">
        <v>3263</v>
      </c>
      <c r="G266" s="78">
        <v>552</v>
      </c>
      <c r="H266" s="78">
        <v>354</v>
      </c>
      <c r="I266" s="79">
        <f t="shared" si="27"/>
        <v>486</v>
      </c>
      <c r="J266" s="79">
        <f t="shared" si="28"/>
        <v>6.7139917695473255</v>
      </c>
      <c r="K266" s="79">
        <f t="shared" si="29"/>
        <v>83.465534979423865</v>
      </c>
      <c r="L266" s="79">
        <v>85</v>
      </c>
      <c r="M266" s="79">
        <f t="shared" si="30"/>
        <v>12.5</v>
      </c>
      <c r="N266" s="79">
        <f t="shared" si="34"/>
        <v>95.965534979423865</v>
      </c>
      <c r="O266" s="78" t="str">
        <f t="shared" si="31"/>
        <v>T90</v>
      </c>
      <c r="P266" s="1" t="b">
        <f t="shared" si="32"/>
        <v>0</v>
      </c>
      <c r="R266" s="43" t="b">
        <v>0</v>
      </c>
      <c r="T266" s="79">
        <f t="shared" si="35"/>
        <v>12.5</v>
      </c>
      <c r="U266" s="1" t="b">
        <f t="shared" si="33"/>
        <v>0</v>
      </c>
    </row>
    <row r="267" spans="1:22" x14ac:dyDescent="0.45">
      <c r="A267" s="42"/>
      <c r="B267" s="77" t="s">
        <v>191</v>
      </c>
      <c r="C267" s="77" t="s">
        <v>192</v>
      </c>
      <c r="D267" s="78">
        <v>2005</v>
      </c>
      <c r="E267" s="78">
        <v>2007</v>
      </c>
      <c r="F267" s="78">
        <v>2006</v>
      </c>
      <c r="G267" s="78">
        <v>190</v>
      </c>
      <c r="H267" s="78">
        <v>138</v>
      </c>
      <c r="I267" s="79">
        <f t="shared" si="27"/>
        <v>172.66666666666666</v>
      </c>
      <c r="J267" s="79">
        <f t="shared" si="28"/>
        <v>11.617760617760618</v>
      </c>
      <c r="K267" s="79">
        <f t="shared" si="29"/>
        <v>62.624517374517374</v>
      </c>
      <c r="L267" s="79">
        <v>75</v>
      </c>
      <c r="M267" s="79">
        <f t="shared" si="30"/>
        <v>7.5</v>
      </c>
      <c r="N267" s="79">
        <f t="shared" si="34"/>
        <v>70.124517374517382</v>
      </c>
      <c r="O267" s="78" t="str">
        <f t="shared" si="31"/>
        <v>T70</v>
      </c>
      <c r="P267" s="1" t="b">
        <f t="shared" si="32"/>
        <v>0</v>
      </c>
      <c r="R267" s="43" t="b">
        <v>0</v>
      </c>
      <c r="T267" s="79">
        <f t="shared" si="35"/>
        <v>7.5</v>
      </c>
      <c r="U267" s="1" t="b">
        <f t="shared" si="33"/>
        <v>0</v>
      </c>
    </row>
    <row r="268" spans="1:22" x14ac:dyDescent="0.45">
      <c r="A268" s="42"/>
      <c r="B268" s="77" t="s">
        <v>191</v>
      </c>
      <c r="C268" s="77" t="s">
        <v>410</v>
      </c>
      <c r="D268" s="78">
        <v>1996</v>
      </c>
      <c r="E268" s="78">
        <v>1998</v>
      </c>
      <c r="F268" s="78">
        <v>3043</v>
      </c>
      <c r="G268" s="78">
        <v>350</v>
      </c>
      <c r="H268" s="78">
        <v>295</v>
      </c>
      <c r="I268" s="79">
        <f t="shared" ref="I268:I331" si="36">G268*(2/3)+H268*(1/3)</f>
        <v>331.66666666666663</v>
      </c>
      <c r="J268" s="79">
        <f t="shared" ref="J268:J331" si="37">F268/I268</f>
        <v>9.174874371859298</v>
      </c>
      <c r="K268" s="79">
        <f t="shared" ref="K268:K331" si="38">J268*-4.25+112</f>
        <v>73.006783919597979</v>
      </c>
      <c r="L268" s="79">
        <v>70</v>
      </c>
      <c r="M268" s="79">
        <f t="shared" ref="M268:M331" si="39">(L268-60)/3*1.5</f>
        <v>5</v>
      </c>
      <c r="N268" s="79">
        <f t="shared" si="34"/>
        <v>78.006783919597979</v>
      </c>
      <c r="O268" s="78" t="str">
        <f t="shared" ref="O268:O331" si="40">INDEX(Base_Classes, MATCH($N268, Base_Assessments, 1)+1)</f>
        <v>T70</v>
      </c>
      <c r="P268" s="1" t="b">
        <f t="shared" ref="P268:P331" si="41">OR(R268,A268)</f>
        <v>0</v>
      </c>
      <c r="R268" s="43" t="b">
        <v>0</v>
      </c>
      <c r="T268" s="79">
        <f t="shared" si="35"/>
        <v>5</v>
      </c>
      <c r="U268" s="1" t="b">
        <f t="shared" ref="U268:U331" si="42">AND(P268,$S$9)</f>
        <v>0</v>
      </c>
    </row>
    <row r="269" spans="1:22" x14ac:dyDescent="0.45">
      <c r="A269" s="42"/>
      <c r="B269" s="77" t="s">
        <v>411</v>
      </c>
      <c r="C269" s="77" t="s">
        <v>412</v>
      </c>
      <c r="D269" s="78">
        <v>2008</v>
      </c>
      <c r="E269" s="78">
        <v>2012</v>
      </c>
      <c r="F269" s="78">
        <v>4100</v>
      </c>
      <c r="G269" s="78">
        <v>434</v>
      </c>
      <c r="H269" s="78">
        <v>360</v>
      </c>
      <c r="I269" s="79">
        <f t="shared" si="36"/>
        <v>409.33333333333331</v>
      </c>
      <c r="J269" s="79">
        <f t="shared" si="37"/>
        <v>10.016286644951141</v>
      </c>
      <c r="K269" s="79">
        <f t="shared" si="38"/>
        <v>69.43078175895765</v>
      </c>
      <c r="L269" s="79">
        <v>80</v>
      </c>
      <c r="M269" s="79">
        <f t="shared" si="39"/>
        <v>10</v>
      </c>
      <c r="N269" s="79">
        <f t="shared" ref="N269:N332" si="43">M269+K269</f>
        <v>79.43078175895765</v>
      </c>
      <c r="O269" s="78" t="str">
        <f t="shared" si="40"/>
        <v>T70</v>
      </c>
      <c r="P269" s="1" t="b">
        <f t="shared" si="41"/>
        <v>0</v>
      </c>
      <c r="R269" s="43" t="b">
        <v>0</v>
      </c>
      <c r="T269" s="79">
        <f t="shared" ref="T269:T332" si="44">(L269-60)/3*1.5</f>
        <v>10</v>
      </c>
      <c r="U269" s="1" t="b">
        <f t="shared" si="42"/>
        <v>0</v>
      </c>
    </row>
    <row r="270" spans="1:22" x14ac:dyDescent="0.45">
      <c r="A270" s="42"/>
      <c r="B270" s="77" t="s">
        <v>193</v>
      </c>
      <c r="C270" s="77" t="s">
        <v>827</v>
      </c>
      <c r="D270" s="78">
        <v>2008</v>
      </c>
      <c r="E270" s="78">
        <v>2008</v>
      </c>
      <c r="F270" s="78">
        <v>2445</v>
      </c>
      <c r="G270" s="78">
        <v>166</v>
      </c>
      <c r="H270" s="78">
        <v>140</v>
      </c>
      <c r="I270" s="79">
        <f t="shared" si="36"/>
        <v>157.33333333333331</v>
      </c>
      <c r="J270" s="79">
        <f t="shared" si="37"/>
        <v>15.540254237288137</v>
      </c>
      <c r="K270" s="79">
        <f t="shared" si="38"/>
        <v>45.953919491525426</v>
      </c>
      <c r="L270" s="79">
        <v>70</v>
      </c>
      <c r="M270" s="79">
        <f t="shared" si="39"/>
        <v>5</v>
      </c>
      <c r="N270" s="79">
        <f t="shared" si="43"/>
        <v>50.953919491525426</v>
      </c>
      <c r="O270" s="78" t="str">
        <f t="shared" si="40"/>
        <v>T50</v>
      </c>
      <c r="P270" s="1" t="b">
        <f t="shared" si="41"/>
        <v>0</v>
      </c>
      <c r="R270" s="43" t="b">
        <v>0</v>
      </c>
      <c r="T270" s="79">
        <f t="shared" si="44"/>
        <v>5</v>
      </c>
      <c r="U270" s="1" t="b">
        <f t="shared" si="42"/>
        <v>0</v>
      </c>
      <c r="V270" s="46"/>
    </row>
    <row r="271" spans="1:22" x14ac:dyDescent="0.45">
      <c r="A271" s="42"/>
      <c r="B271" s="89" t="s">
        <v>193</v>
      </c>
      <c r="C271" s="89">
        <v>3</v>
      </c>
      <c r="D271" s="84">
        <v>2012</v>
      </c>
      <c r="E271" s="84"/>
      <c r="F271" s="84">
        <v>2866</v>
      </c>
      <c r="G271" s="84">
        <v>148</v>
      </c>
      <c r="H271" s="84">
        <v>135</v>
      </c>
      <c r="I271" s="85">
        <f t="shared" si="36"/>
        <v>143.66666666666666</v>
      </c>
      <c r="J271" s="85">
        <f t="shared" si="37"/>
        <v>19.94895591647332</v>
      </c>
      <c r="K271" s="79">
        <f t="shared" si="38"/>
        <v>27.216937354988389</v>
      </c>
      <c r="L271" s="85">
        <v>55</v>
      </c>
      <c r="M271" s="79">
        <f t="shared" si="39"/>
        <v>-2.5</v>
      </c>
      <c r="N271" s="85">
        <f t="shared" si="43"/>
        <v>24.716937354988389</v>
      </c>
      <c r="O271" s="78" t="str">
        <f t="shared" si="40"/>
        <v>T30</v>
      </c>
      <c r="P271" s="1" t="b">
        <f t="shared" si="41"/>
        <v>0</v>
      </c>
      <c r="R271" s="43" t="b">
        <v>0</v>
      </c>
      <c r="T271" s="79">
        <f t="shared" si="44"/>
        <v>-2.5</v>
      </c>
      <c r="U271" s="1" t="b">
        <f t="shared" si="42"/>
        <v>0</v>
      </c>
    </row>
    <row r="272" spans="1:22" x14ac:dyDescent="0.45">
      <c r="A272" s="42"/>
      <c r="B272" s="77" t="s">
        <v>193</v>
      </c>
      <c r="C272" s="77" t="s">
        <v>413</v>
      </c>
      <c r="D272" s="78">
        <v>2004</v>
      </c>
      <c r="E272" s="78">
        <v>2005</v>
      </c>
      <c r="F272" s="78">
        <v>2529</v>
      </c>
      <c r="G272" s="78">
        <v>178</v>
      </c>
      <c r="H272" s="78">
        <v>166</v>
      </c>
      <c r="I272" s="79">
        <f t="shared" si="36"/>
        <v>174</v>
      </c>
      <c r="J272" s="79">
        <f t="shared" si="37"/>
        <v>14.53448275862069</v>
      </c>
      <c r="K272" s="79">
        <f t="shared" si="38"/>
        <v>50.228448275862064</v>
      </c>
      <c r="L272" s="79">
        <v>70</v>
      </c>
      <c r="M272" s="79">
        <f t="shared" si="39"/>
        <v>5</v>
      </c>
      <c r="N272" s="79">
        <f t="shared" si="43"/>
        <v>55.228448275862064</v>
      </c>
      <c r="O272" s="78" t="str">
        <f t="shared" si="40"/>
        <v>T50</v>
      </c>
      <c r="P272" s="1" t="b">
        <f t="shared" si="41"/>
        <v>0</v>
      </c>
      <c r="R272" s="43" t="b">
        <v>0</v>
      </c>
      <c r="T272" s="79">
        <f t="shared" si="44"/>
        <v>5</v>
      </c>
      <c r="U272" s="1" t="b">
        <f t="shared" si="42"/>
        <v>0</v>
      </c>
    </row>
    <row r="273" spans="1:21" x14ac:dyDescent="0.45">
      <c r="A273" s="42"/>
      <c r="B273" s="77" t="s">
        <v>193</v>
      </c>
      <c r="C273" s="77" t="s">
        <v>527</v>
      </c>
      <c r="D273" s="78">
        <v>2003</v>
      </c>
      <c r="E273" s="78">
        <v>2003</v>
      </c>
      <c r="F273" s="78">
        <v>2843</v>
      </c>
      <c r="G273" s="78">
        <v>170</v>
      </c>
      <c r="H273" s="78">
        <v>160</v>
      </c>
      <c r="I273" s="79">
        <f t="shared" si="36"/>
        <v>166.66666666666666</v>
      </c>
      <c r="J273" s="79">
        <f t="shared" si="37"/>
        <v>17.058</v>
      </c>
      <c r="K273" s="79">
        <f t="shared" si="38"/>
        <v>39.503500000000003</v>
      </c>
      <c r="L273" s="79">
        <v>60</v>
      </c>
      <c r="M273" s="79">
        <f t="shared" si="39"/>
        <v>0</v>
      </c>
      <c r="N273" s="79">
        <f t="shared" si="43"/>
        <v>39.503500000000003</v>
      </c>
      <c r="O273" s="78" t="str">
        <f t="shared" si="40"/>
        <v>T30</v>
      </c>
      <c r="P273" s="1" t="b">
        <f t="shared" si="41"/>
        <v>0</v>
      </c>
      <c r="R273" s="43" t="b">
        <v>0</v>
      </c>
      <c r="T273" s="79">
        <f t="shared" si="44"/>
        <v>0</v>
      </c>
      <c r="U273" s="1" t="b">
        <f t="shared" si="42"/>
        <v>0</v>
      </c>
    </row>
    <row r="274" spans="1:21" x14ac:dyDescent="0.45">
      <c r="A274" s="42"/>
      <c r="B274" s="77" t="s">
        <v>193</v>
      </c>
      <c r="C274" s="77" t="s">
        <v>194</v>
      </c>
      <c r="D274" s="78">
        <v>2007</v>
      </c>
      <c r="E274" s="78">
        <v>2007</v>
      </c>
      <c r="F274" s="78">
        <v>3153</v>
      </c>
      <c r="G274" s="78">
        <v>263</v>
      </c>
      <c r="H274" s="78">
        <v>280</v>
      </c>
      <c r="I274" s="79">
        <f t="shared" si="36"/>
        <v>268.66666666666663</v>
      </c>
      <c r="J274" s="79">
        <f t="shared" si="37"/>
        <v>11.73573200992556</v>
      </c>
      <c r="K274" s="79">
        <f t="shared" si="38"/>
        <v>62.123138957816373</v>
      </c>
      <c r="L274" s="79">
        <v>60</v>
      </c>
      <c r="M274" s="79">
        <f t="shared" si="39"/>
        <v>0</v>
      </c>
      <c r="N274" s="79">
        <f t="shared" si="43"/>
        <v>62.123138957816373</v>
      </c>
      <c r="O274" s="78" t="str">
        <f t="shared" si="40"/>
        <v>T60</v>
      </c>
      <c r="P274" s="1" t="b">
        <f t="shared" si="41"/>
        <v>0</v>
      </c>
      <c r="R274" s="43" t="b">
        <v>0</v>
      </c>
      <c r="T274" s="79">
        <f t="shared" si="44"/>
        <v>0</v>
      </c>
      <c r="U274" s="1" t="b">
        <f t="shared" si="42"/>
        <v>0</v>
      </c>
    </row>
    <row r="275" spans="1:21" x14ac:dyDescent="0.45">
      <c r="A275" s="42"/>
      <c r="B275" s="77" t="s">
        <v>193</v>
      </c>
      <c r="C275" s="77" t="s">
        <v>506</v>
      </c>
      <c r="D275" s="78">
        <v>2006</v>
      </c>
      <c r="E275" s="78">
        <v>2007</v>
      </c>
      <c r="F275" s="78">
        <v>3589</v>
      </c>
      <c r="G275" s="78">
        <v>274</v>
      </c>
      <c r="H275" s="78">
        <v>280</v>
      </c>
      <c r="I275" s="79">
        <f t="shared" si="36"/>
        <v>276</v>
      </c>
      <c r="J275" s="79">
        <f t="shared" si="37"/>
        <v>13.003623188405797</v>
      </c>
      <c r="K275" s="79">
        <f t="shared" si="38"/>
        <v>56.73460144927536</v>
      </c>
      <c r="L275" s="79">
        <v>60</v>
      </c>
      <c r="M275" s="79">
        <f t="shared" si="39"/>
        <v>0</v>
      </c>
      <c r="N275" s="79">
        <f t="shared" si="43"/>
        <v>56.73460144927536</v>
      </c>
      <c r="O275" s="78" t="str">
        <f t="shared" si="40"/>
        <v>T50</v>
      </c>
      <c r="P275" s="1" t="b">
        <f t="shared" si="41"/>
        <v>0</v>
      </c>
      <c r="R275" s="43" t="b">
        <v>0</v>
      </c>
      <c r="T275" s="79">
        <f t="shared" si="44"/>
        <v>0</v>
      </c>
      <c r="U275" s="1" t="b">
        <f t="shared" si="42"/>
        <v>0</v>
      </c>
    </row>
    <row r="276" spans="1:21" x14ac:dyDescent="0.45">
      <c r="A276" s="42"/>
      <c r="B276" s="77" t="s">
        <v>193</v>
      </c>
      <c r="C276" s="77" t="s">
        <v>195</v>
      </c>
      <c r="D276" s="78">
        <v>1989</v>
      </c>
      <c r="E276" s="78">
        <v>1993</v>
      </c>
      <c r="F276" s="78">
        <v>2222</v>
      </c>
      <c r="G276" s="78">
        <v>116</v>
      </c>
      <c r="H276" s="78">
        <v>100</v>
      </c>
      <c r="I276" s="79">
        <f t="shared" si="36"/>
        <v>110.66666666666666</v>
      </c>
      <c r="J276" s="79">
        <f t="shared" si="37"/>
        <v>20.078313253012048</v>
      </c>
      <c r="K276" s="79">
        <f t="shared" si="38"/>
        <v>26.6671686746988</v>
      </c>
      <c r="L276" s="79">
        <v>65</v>
      </c>
      <c r="M276" s="79">
        <f t="shared" si="39"/>
        <v>2.5</v>
      </c>
      <c r="N276" s="79">
        <f t="shared" si="43"/>
        <v>29.1671686746988</v>
      </c>
      <c r="O276" s="78" t="str">
        <f t="shared" si="40"/>
        <v>T30</v>
      </c>
      <c r="P276" s="1" t="b">
        <f t="shared" si="41"/>
        <v>0</v>
      </c>
      <c r="R276" s="43" t="b">
        <v>0</v>
      </c>
      <c r="T276" s="79">
        <f t="shared" si="44"/>
        <v>2.5</v>
      </c>
      <c r="U276" s="1" t="b">
        <f t="shared" si="42"/>
        <v>0</v>
      </c>
    </row>
    <row r="277" spans="1:21" x14ac:dyDescent="0.45">
      <c r="A277" s="42"/>
      <c r="B277" s="77" t="s">
        <v>193</v>
      </c>
      <c r="C277" s="77" t="s">
        <v>196</v>
      </c>
      <c r="D277" s="78">
        <v>1994</v>
      </c>
      <c r="E277" s="78">
        <v>1997</v>
      </c>
      <c r="F277" s="78">
        <v>2293</v>
      </c>
      <c r="G277" s="78">
        <v>128</v>
      </c>
      <c r="H277" s="78">
        <v>114</v>
      </c>
      <c r="I277" s="79">
        <f t="shared" si="36"/>
        <v>123.33333333333333</v>
      </c>
      <c r="J277" s="79">
        <f t="shared" si="37"/>
        <v>18.591891891891894</v>
      </c>
      <c r="K277" s="79">
        <f t="shared" si="38"/>
        <v>32.984459459459444</v>
      </c>
      <c r="L277" s="79">
        <v>65</v>
      </c>
      <c r="M277" s="79">
        <f t="shared" si="39"/>
        <v>2.5</v>
      </c>
      <c r="N277" s="79">
        <f t="shared" si="43"/>
        <v>35.484459459459444</v>
      </c>
      <c r="O277" s="78" t="str">
        <f t="shared" si="40"/>
        <v>T30</v>
      </c>
      <c r="P277" s="1" t="b">
        <f t="shared" si="41"/>
        <v>0</v>
      </c>
      <c r="R277" s="43" t="b">
        <v>0</v>
      </c>
      <c r="T277" s="79">
        <f t="shared" si="44"/>
        <v>2.5</v>
      </c>
      <c r="U277" s="1" t="b">
        <f t="shared" si="42"/>
        <v>0</v>
      </c>
    </row>
    <row r="278" spans="1:21" x14ac:dyDescent="0.45">
      <c r="A278" s="42"/>
      <c r="B278" s="77" t="s">
        <v>193</v>
      </c>
      <c r="C278" s="77" t="s">
        <v>197</v>
      </c>
      <c r="D278" s="78">
        <v>1999</v>
      </c>
      <c r="E278" s="78">
        <v>2005</v>
      </c>
      <c r="F278" s="78">
        <v>2447</v>
      </c>
      <c r="G278" s="78">
        <v>140</v>
      </c>
      <c r="H278" s="78">
        <v>125</v>
      </c>
      <c r="I278" s="79">
        <f t="shared" si="36"/>
        <v>135</v>
      </c>
      <c r="J278" s="79">
        <f t="shared" si="37"/>
        <v>18.125925925925927</v>
      </c>
      <c r="K278" s="79">
        <f t="shared" si="38"/>
        <v>34.964814814814815</v>
      </c>
      <c r="L278" s="79">
        <v>65</v>
      </c>
      <c r="M278" s="79">
        <f t="shared" si="39"/>
        <v>2.5</v>
      </c>
      <c r="N278" s="79">
        <f t="shared" si="43"/>
        <v>37.464814814814815</v>
      </c>
      <c r="O278" s="78" t="str">
        <f t="shared" si="40"/>
        <v>T30</v>
      </c>
      <c r="P278" s="1" t="b">
        <f t="shared" si="41"/>
        <v>0</v>
      </c>
      <c r="R278" s="43" t="b">
        <v>0</v>
      </c>
      <c r="T278" s="79">
        <f t="shared" si="44"/>
        <v>2.5</v>
      </c>
      <c r="U278" s="1" t="b">
        <f t="shared" si="42"/>
        <v>0</v>
      </c>
    </row>
    <row r="279" spans="1:21" x14ac:dyDescent="0.45">
      <c r="A279" s="42"/>
      <c r="B279" s="77" t="s">
        <v>193</v>
      </c>
      <c r="C279" s="77" t="s">
        <v>795</v>
      </c>
      <c r="D279" s="78">
        <v>2006</v>
      </c>
      <c r="E279" s="78">
        <v>2015</v>
      </c>
      <c r="F279" s="78">
        <v>2525</v>
      </c>
      <c r="G279" s="78">
        <v>170</v>
      </c>
      <c r="H279" s="78">
        <v>140</v>
      </c>
      <c r="I279" s="79">
        <f t="shared" si="36"/>
        <v>160</v>
      </c>
      <c r="J279" s="79">
        <f t="shared" si="37"/>
        <v>15.78125</v>
      </c>
      <c r="K279" s="79">
        <f t="shared" si="38"/>
        <v>44.9296875</v>
      </c>
      <c r="L279" s="79">
        <v>70</v>
      </c>
      <c r="M279" s="79">
        <f t="shared" si="39"/>
        <v>5</v>
      </c>
      <c r="N279" s="79">
        <f t="shared" si="43"/>
        <v>49.9296875</v>
      </c>
      <c r="O279" s="78" t="str">
        <f t="shared" si="40"/>
        <v>T40</v>
      </c>
      <c r="P279" s="1" t="b">
        <f t="shared" si="41"/>
        <v>0</v>
      </c>
      <c r="R279" s="43" t="b">
        <v>0</v>
      </c>
      <c r="T279" s="79">
        <f t="shared" si="44"/>
        <v>5</v>
      </c>
      <c r="U279" s="1" t="b">
        <f t="shared" si="42"/>
        <v>0</v>
      </c>
    </row>
    <row r="280" spans="1:21" x14ac:dyDescent="0.45">
      <c r="A280" s="42"/>
      <c r="B280" s="89" t="s">
        <v>193</v>
      </c>
      <c r="C280" s="89" t="s">
        <v>730</v>
      </c>
      <c r="D280" s="84">
        <v>2016</v>
      </c>
      <c r="E280" s="84">
        <v>2018</v>
      </c>
      <c r="F280" s="84">
        <v>2332</v>
      </c>
      <c r="G280" s="84">
        <v>155</v>
      </c>
      <c r="H280" s="84">
        <v>148</v>
      </c>
      <c r="I280" s="85">
        <f t="shared" si="36"/>
        <v>152.66666666666666</v>
      </c>
      <c r="J280" s="85">
        <f t="shared" si="37"/>
        <v>15.275109170305678</v>
      </c>
      <c r="K280" s="79">
        <f t="shared" si="38"/>
        <v>47.080786026200869</v>
      </c>
      <c r="L280" s="85">
        <v>75</v>
      </c>
      <c r="M280" s="79">
        <f t="shared" si="39"/>
        <v>7.5</v>
      </c>
      <c r="N280" s="85">
        <f t="shared" si="43"/>
        <v>54.580786026200869</v>
      </c>
      <c r="O280" s="78" t="str">
        <f t="shared" si="40"/>
        <v>T50</v>
      </c>
      <c r="P280" s="1" t="b">
        <f t="shared" si="41"/>
        <v>0</v>
      </c>
      <c r="R280" s="43" t="b">
        <v>0</v>
      </c>
      <c r="T280" s="79">
        <f t="shared" si="44"/>
        <v>7.5</v>
      </c>
      <c r="U280" s="1" t="b">
        <f t="shared" si="42"/>
        <v>0</v>
      </c>
    </row>
    <row r="281" spans="1:21" x14ac:dyDescent="0.45">
      <c r="A281" s="42"/>
      <c r="B281" s="89" t="s">
        <v>193</v>
      </c>
      <c r="C281" s="89" t="s">
        <v>730</v>
      </c>
      <c r="D281" s="84">
        <v>2019</v>
      </c>
      <c r="E281" s="84"/>
      <c r="F281" s="84">
        <v>2318</v>
      </c>
      <c r="G281" s="84">
        <v>181</v>
      </c>
      <c r="H281" s="84">
        <v>151</v>
      </c>
      <c r="I281" s="85">
        <f t="shared" si="36"/>
        <v>171</v>
      </c>
      <c r="J281" s="85">
        <f t="shared" si="37"/>
        <v>13.555555555555555</v>
      </c>
      <c r="K281" s="79">
        <f t="shared" si="38"/>
        <v>54.388888888888893</v>
      </c>
      <c r="L281" s="85">
        <v>75</v>
      </c>
      <c r="M281" s="79">
        <f t="shared" si="39"/>
        <v>7.5</v>
      </c>
      <c r="N281" s="85">
        <f t="shared" si="43"/>
        <v>61.888888888888893</v>
      </c>
      <c r="O281" s="78" t="str">
        <f t="shared" si="40"/>
        <v>T60</v>
      </c>
      <c r="P281" s="1" t="b">
        <f t="shared" si="41"/>
        <v>0</v>
      </c>
      <c r="R281" s="43" t="b">
        <v>0</v>
      </c>
      <c r="T281" s="79">
        <f t="shared" si="44"/>
        <v>7.5</v>
      </c>
      <c r="U281" s="1" t="b">
        <f t="shared" si="42"/>
        <v>0</v>
      </c>
    </row>
    <row r="282" spans="1:21" x14ac:dyDescent="0.45">
      <c r="A282" s="42"/>
      <c r="B282" s="89" t="s">
        <v>193</v>
      </c>
      <c r="C282" s="89" t="s">
        <v>566</v>
      </c>
      <c r="D282" s="84">
        <v>1981</v>
      </c>
      <c r="E282" s="84">
        <v>1983</v>
      </c>
      <c r="F282" s="84">
        <v>2350</v>
      </c>
      <c r="G282" s="84">
        <v>101</v>
      </c>
      <c r="H282" s="84">
        <v>107</v>
      </c>
      <c r="I282" s="85">
        <f t="shared" si="36"/>
        <v>103</v>
      </c>
      <c r="J282" s="85">
        <f t="shared" si="37"/>
        <v>22.815533980582526</v>
      </c>
      <c r="K282" s="79">
        <f t="shared" si="38"/>
        <v>15.033980582524265</v>
      </c>
      <c r="L282" s="85">
        <v>50</v>
      </c>
      <c r="M282" s="79">
        <f t="shared" si="39"/>
        <v>-5</v>
      </c>
      <c r="N282" s="85">
        <f t="shared" si="43"/>
        <v>10.033980582524265</v>
      </c>
      <c r="O282" s="78" t="str">
        <f t="shared" si="40"/>
        <v>T30</v>
      </c>
      <c r="P282" s="1" t="b">
        <f t="shared" si="41"/>
        <v>0</v>
      </c>
      <c r="R282" s="43" t="b">
        <v>0</v>
      </c>
      <c r="T282" s="79">
        <f t="shared" si="44"/>
        <v>-5</v>
      </c>
      <c r="U282" s="1" t="b">
        <f t="shared" si="42"/>
        <v>0</v>
      </c>
    </row>
    <row r="283" spans="1:21" x14ac:dyDescent="0.45">
      <c r="A283" s="42"/>
      <c r="B283" s="77" t="s">
        <v>193</v>
      </c>
      <c r="C283" s="77" t="s">
        <v>414</v>
      </c>
      <c r="D283" s="78">
        <v>1986</v>
      </c>
      <c r="E283" s="78">
        <v>1988</v>
      </c>
      <c r="F283" s="78">
        <v>2700</v>
      </c>
      <c r="G283" s="78">
        <v>146</v>
      </c>
      <c r="H283" s="78">
        <v>138</v>
      </c>
      <c r="I283" s="79">
        <f t="shared" si="36"/>
        <v>143.33333333333331</v>
      </c>
      <c r="J283" s="79">
        <f t="shared" si="37"/>
        <v>18.837209302325583</v>
      </c>
      <c r="K283" s="79">
        <f t="shared" si="38"/>
        <v>31.941860465116278</v>
      </c>
      <c r="L283" s="79">
        <v>60</v>
      </c>
      <c r="M283" s="79">
        <f t="shared" si="39"/>
        <v>0</v>
      </c>
      <c r="N283" s="79">
        <f t="shared" si="43"/>
        <v>31.941860465116278</v>
      </c>
      <c r="O283" s="78" t="str">
        <f t="shared" si="40"/>
        <v>T30</v>
      </c>
      <c r="P283" s="1" t="b">
        <f t="shared" si="41"/>
        <v>0</v>
      </c>
      <c r="R283" s="43" t="b">
        <v>0</v>
      </c>
      <c r="T283" s="79">
        <f t="shared" si="44"/>
        <v>0</v>
      </c>
      <c r="U283" s="1" t="b">
        <f t="shared" si="42"/>
        <v>0</v>
      </c>
    </row>
    <row r="284" spans="1:21" x14ac:dyDescent="0.45">
      <c r="A284" s="42"/>
      <c r="B284" s="77" t="s">
        <v>193</v>
      </c>
      <c r="C284" s="77" t="s">
        <v>198</v>
      </c>
      <c r="D284" s="78">
        <v>1989</v>
      </c>
      <c r="E284" s="78">
        <v>1991</v>
      </c>
      <c r="F284" s="78">
        <v>2787</v>
      </c>
      <c r="G284" s="78">
        <v>160</v>
      </c>
      <c r="H284" s="78">
        <v>140</v>
      </c>
      <c r="I284" s="79">
        <f t="shared" si="36"/>
        <v>153.33333333333331</v>
      </c>
      <c r="J284" s="79">
        <f t="shared" si="37"/>
        <v>18.17608695652174</v>
      </c>
      <c r="K284" s="79">
        <f t="shared" si="38"/>
        <v>34.751630434782612</v>
      </c>
      <c r="L284" s="79">
        <v>60</v>
      </c>
      <c r="M284" s="79">
        <f t="shared" si="39"/>
        <v>0</v>
      </c>
      <c r="N284" s="79">
        <f t="shared" si="43"/>
        <v>34.751630434782612</v>
      </c>
      <c r="O284" s="78" t="str">
        <f t="shared" si="40"/>
        <v>T30</v>
      </c>
      <c r="P284" s="1" t="b">
        <f t="shared" si="41"/>
        <v>0</v>
      </c>
      <c r="R284" s="43" t="b">
        <v>0</v>
      </c>
      <c r="T284" s="79">
        <f t="shared" si="44"/>
        <v>0</v>
      </c>
      <c r="U284" s="1" t="b">
        <f t="shared" si="42"/>
        <v>0</v>
      </c>
    </row>
    <row r="285" spans="1:21" x14ac:dyDescent="0.45">
      <c r="A285" s="42"/>
      <c r="B285" s="77" t="s">
        <v>193</v>
      </c>
      <c r="C285" s="77" t="s">
        <v>199</v>
      </c>
      <c r="D285" s="78">
        <v>1986</v>
      </c>
      <c r="E285" s="78">
        <v>1988</v>
      </c>
      <c r="F285" s="78">
        <v>2850</v>
      </c>
      <c r="G285" s="78">
        <v>182</v>
      </c>
      <c r="H285" s="78">
        <v>183</v>
      </c>
      <c r="I285" s="79">
        <f t="shared" si="36"/>
        <v>182.33333333333331</v>
      </c>
      <c r="J285" s="79">
        <f t="shared" si="37"/>
        <v>15.630712979890312</v>
      </c>
      <c r="K285" s="79">
        <f t="shared" si="38"/>
        <v>45.56946983546618</v>
      </c>
      <c r="L285" s="79">
        <v>60</v>
      </c>
      <c r="M285" s="79">
        <f t="shared" si="39"/>
        <v>0</v>
      </c>
      <c r="N285" s="79">
        <f t="shared" si="43"/>
        <v>45.56946983546618</v>
      </c>
      <c r="O285" s="78" t="str">
        <f t="shared" si="40"/>
        <v>T40</v>
      </c>
      <c r="P285" s="1" t="b">
        <f t="shared" si="41"/>
        <v>0</v>
      </c>
      <c r="R285" s="43" t="b">
        <v>0</v>
      </c>
      <c r="T285" s="79">
        <f t="shared" si="44"/>
        <v>0</v>
      </c>
      <c r="U285" s="1" t="b">
        <f t="shared" si="42"/>
        <v>0</v>
      </c>
    </row>
    <row r="286" spans="1:21" x14ac:dyDescent="0.45">
      <c r="A286" s="42"/>
      <c r="B286" s="77" t="s">
        <v>193</v>
      </c>
      <c r="C286" s="77" t="s">
        <v>199</v>
      </c>
      <c r="D286" s="78">
        <v>1993</v>
      </c>
      <c r="E286" s="78">
        <v>1995</v>
      </c>
      <c r="F286" s="78">
        <v>2858</v>
      </c>
      <c r="G286" s="78">
        <v>255</v>
      </c>
      <c r="H286" s="78">
        <v>217</v>
      </c>
      <c r="I286" s="79">
        <f t="shared" si="36"/>
        <v>242.33333333333331</v>
      </c>
      <c r="J286" s="79">
        <f t="shared" si="37"/>
        <v>11.793672627235214</v>
      </c>
      <c r="K286" s="79">
        <f t="shared" si="38"/>
        <v>61.876891334250338</v>
      </c>
      <c r="L286" s="79">
        <v>75</v>
      </c>
      <c r="M286" s="79">
        <f t="shared" si="39"/>
        <v>7.5</v>
      </c>
      <c r="N286" s="79">
        <f t="shared" si="43"/>
        <v>69.376891334250331</v>
      </c>
      <c r="O286" s="78" t="str">
        <f t="shared" si="40"/>
        <v>T60</v>
      </c>
      <c r="P286" s="1" t="b">
        <f t="shared" si="41"/>
        <v>0</v>
      </c>
      <c r="R286" s="43" t="b">
        <v>0</v>
      </c>
      <c r="T286" s="79">
        <f t="shared" si="44"/>
        <v>7.5</v>
      </c>
      <c r="U286" s="1" t="b">
        <f t="shared" si="42"/>
        <v>0</v>
      </c>
    </row>
    <row r="287" spans="1:21" x14ac:dyDescent="0.45">
      <c r="A287" s="42"/>
      <c r="B287" s="77" t="s">
        <v>193</v>
      </c>
      <c r="C287" s="77" t="s">
        <v>281</v>
      </c>
      <c r="D287" s="78">
        <v>2003</v>
      </c>
      <c r="E287" s="78">
        <v>2008</v>
      </c>
      <c r="F287" s="78">
        <v>3051</v>
      </c>
      <c r="G287" s="78">
        <v>238</v>
      </c>
      <c r="H287" s="78">
        <v>159</v>
      </c>
      <c r="I287" s="79">
        <f t="shared" si="36"/>
        <v>211.66666666666666</v>
      </c>
      <c r="J287" s="79">
        <f t="shared" si="37"/>
        <v>14.414173228346458</v>
      </c>
      <c r="K287" s="79">
        <f t="shared" si="38"/>
        <v>50.73976377952755</v>
      </c>
      <c r="L287" s="79">
        <v>70</v>
      </c>
      <c r="M287" s="79">
        <f t="shared" si="39"/>
        <v>5</v>
      </c>
      <c r="N287" s="79">
        <f t="shared" si="43"/>
        <v>55.73976377952755</v>
      </c>
      <c r="O287" s="78" t="str">
        <f t="shared" si="40"/>
        <v>T50</v>
      </c>
      <c r="P287" s="1" t="b">
        <f t="shared" si="41"/>
        <v>0</v>
      </c>
      <c r="R287" s="43" t="b">
        <v>0</v>
      </c>
      <c r="T287" s="79">
        <f t="shared" si="44"/>
        <v>5</v>
      </c>
      <c r="U287" s="1" t="b">
        <f t="shared" si="42"/>
        <v>0</v>
      </c>
    </row>
    <row r="288" spans="1:21" x14ac:dyDescent="0.45">
      <c r="A288" s="42"/>
      <c r="B288" s="77" t="s">
        <v>193</v>
      </c>
      <c r="C288" s="77" t="s">
        <v>281</v>
      </c>
      <c r="D288" s="78">
        <v>2009</v>
      </c>
      <c r="E288" s="78">
        <v>2011</v>
      </c>
      <c r="F288" s="78">
        <v>3065</v>
      </c>
      <c r="G288" s="78">
        <v>232</v>
      </c>
      <c r="H288" s="78">
        <v>159</v>
      </c>
      <c r="I288" s="79">
        <f t="shared" si="36"/>
        <v>207.66666666666666</v>
      </c>
      <c r="J288" s="79">
        <f t="shared" si="37"/>
        <v>14.759229534510434</v>
      </c>
      <c r="K288" s="79">
        <f t="shared" si="38"/>
        <v>49.273274478330656</v>
      </c>
      <c r="L288" s="79">
        <v>70</v>
      </c>
      <c r="M288" s="79">
        <f t="shared" si="39"/>
        <v>5</v>
      </c>
      <c r="N288" s="79">
        <f t="shared" si="43"/>
        <v>54.273274478330656</v>
      </c>
      <c r="O288" s="78" t="str">
        <f t="shared" si="40"/>
        <v>T50</v>
      </c>
      <c r="P288" s="1" t="b">
        <f t="shared" si="41"/>
        <v>0</v>
      </c>
      <c r="R288" s="43" t="b">
        <v>0</v>
      </c>
      <c r="T288" s="79">
        <f t="shared" si="44"/>
        <v>5</v>
      </c>
      <c r="U288" s="1" t="b">
        <f t="shared" si="42"/>
        <v>0</v>
      </c>
    </row>
    <row r="289" spans="1:22" x14ac:dyDescent="0.45">
      <c r="A289" s="42"/>
      <c r="B289" s="77" t="s">
        <v>810</v>
      </c>
      <c r="C289" s="77" t="s">
        <v>811</v>
      </c>
      <c r="D289" s="78">
        <v>2006</v>
      </c>
      <c r="E289" s="78">
        <v>2006</v>
      </c>
      <c r="F289" s="78">
        <v>2527</v>
      </c>
      <c r="G289" s="78">
        <v>166</v>
      </c>
      <c r="H289" s="78">
        <v>140</v>
      </c>
      <c r="I289" s="79">
        <f t="shared" si="36"/>
        <v>157.33333333333331</v>
      </c>
      <c r="J289" s="79">
        <f t="shared" si="37"/>
        <v>16.061440677966104</v>
      </c>
      <c r="K289" s="79">
        <f t="shared" si="38"/>
        <v>43.738877118644055</v>
      </c>
      <c r="L289" s="79">
        <v>70</v>
      </c>
      <c r="M289" s="79">
        <f t="shared" si="39"/>
        <v>5</v>
      </c>
      <c r="N289" s="79">
        <f t="shared" si="43"/>
        <v>48.738877118644055</v>
      </c>
      <c r="O289" s="78" t="str">
        <f t="shared" si="40"/>
        <v>T40</v>
      </c>
      <c r="P289" s="1" t="b">
        <f t="shared" si="41"/>
        <v>0</v>
      </c>
      <c r="R289" s="43" t="b">
        <v>0</v>
      </c>
      <c r="T289" s="79">
        <f t="shared" si="44"/>
        <v>5</v>
      </c>
      <c r="U289" s="1" t="b">
        <f t="shared" si="42"/>
        <v>0</v>
      </c>
      <c r="V289" s="46"/>
    </row>
    <row r="290" spans="1:22" x14ac:dyDescent="0.45">
      <c r="A290" s="42"/>
      <c r="B290" s="77" t="s">
        <v>721</v>
      </c>
      <c r="C290" s="77" t="s">
        <v>828</v>
      </c>
      <c r="D290" s="78">
        <v>2024</v>
      </c>
      <c r="E290" s="78">
        <v>2024</v>
      </c>
      <c r="F290" s="78">
        <v>3660</v>
      </c>
      <c r="G290" s="78">
        <v>416</v>
      </c>
      <c r="H290" s="78">
        <v>369</v>
      </c>
      <c r="I290" s="79">
        <f t="shared" si="36"/>
        <v>400.33333333333331</v>
      </c>
      <c r="J290" s="79">
        <f t="shared" si="37"/>
        <v>9.1423813488759365</v>
      </c>
      <c r="K290" s="79">
        <f t="shared" si="38"/>
        <v>73.144879267277275</v>
      </c>
      <c r="L290" s="79">
        <v>85</v>
      </c>
      <c r="M290" s="79">
        <f t="shared" si="39"/>
        <v>12.5</v>
      </c>
      <c r="N290" s="79">
        <f t="shared" si="43"/>
        <v>85.644879267277275</v>
      </c>
      <c r="O290" s="78" t="str">
        <f t="shared" si="40"/>
        <v>T80</v>
      </c>
      <c r="P290" s="1" t="b">
        <f t="shared" si="41"/>
        <v>0</v>
      </c>
      <c r="R290" s="43" t="b">
        <v>0</v>
      </c>
      <c r="T290" s="79">
        <f t="shared" si="44"/>
        <v>12.5</v>
      </c>
      <c r="U290" s="1" t="b">
        <f t="shared" si="42"/>
        <v>0</v>
      </c>
      <c r="V290" s="46"/>
    </row>
    <row r="291" spans="1:22" x14ac:dyDescent="0.45">
      <c r="A291" s="42"/>
      <c r="B291" s="77" t="s">
        <v>721</v>
      </c>
      <c r="C291" s="77" t="s">
        <v>746</v>
      </c>
      <c r="D291" s="78">
        <v>1990</v>
      </c>
      <c r="E291" s="78">
        <v>1993</v>
      </c>
      <c r="F291" s="78">
        <v>2987</v>
      </c>
      <c r="G291" s="78">
        <v>130</v>
      </c>
      <c r="H291" s="78">
        <v>146</v>
      </c>
      <c r="I291" s="79">
        <f t="shared" si="36"/>
        <v>135.33333333333331</v>
      </c>
      <c r="J291" s="79">
        <f t="shared" si="37"/>
        <v>22.071428571428573</v>
      </c>
      <c r="K291" s="79">
        <f t="shared" si="38"/>
        <v>18.196428571428569</v>
      </c>
      <c r="L291" s="79">
        <v>60</v>
      </c>
      <c r="M291" s="79">
        <f t="shared" si="39"/>
        <v>0</v>
      </c>
      <c r="N291" s="79">
        <f t="shared" si="43"/>
        <v>18.196428571428569</v>
      </c>
      <c r="O291" s="78" t="str">
        <f t="shared" si="40"/>
        <v>T30</v>
      </c>
      <c r="P291" s="1" t="b">
        <f t="shared" si="41"/>
        <v>0</v>
      </c>
      <c r="R291" s="43" t="b">
        <v>0</v>
      </c>
      <c r="T291" s="79">
        <f t="shared" si="44"/>
        <v>0</v>
      </c>
      <c r="U291" s="1" t="b">
        <f t="shared" si="42"/>
        <v>0</v>
      </c>
      <c r="V291" s="46"/>
    </row>
    <row r="292" spans="1:22" x14ac:dyDescent="0.45">
      <c r="A292" s="42"/>
      <c r="B292" s="77" t="s">
        <v>721</v>
      </c>
      <c r="C292" s="77" t="s">
        <v>722</v>
      </c>
      <c r="D292" s="78">
        <v>2020</v>
      </c>
      <c r="E292" s="78"/>
      <c r="F292" s="78">
        <v>3650</v>
      </c>
      <c r="G292" s="78">
        <v>577</v>
      </c>
      <c r="H292" s="78">
        <v>516</v>
      </c>
      <c r="I292" s="79">
        <f t="shared" si="36"/>
        <v>556.66666666666663</v>
      </c>
      <c r="J292" s="79">
        <f t="shared" si="37"/>
        <v>6.5568862275449105</v>
      </c>
      <c r="K292" s="79">
        <f t="shared" si="38"/>
        <v>84.133233532934128</v>
      </c>
      <c r="L292" s="79">
        <v>115</v>
      </c>
      <c r="M292" s="79">
        <f t="shared" si="39"/>
        <v>27.5</v>
      </c>
      <c r="N292" s="79">
        <f t="shared" si="43"/>
        <v>111.63323353293413</v>
      </c>
      <c r="O292" s="78" t="str">
        <f t="shared" si="40"/>
        <v>T110</v>
      </c>
      <c r="P292" s="1" t="b">
        <f t="shared" si="41"/>
        <v>0</v>
      </c>
      <c r="R292" s="43" t="b">
        <v>0</v>
      </c>
      <c r="T292" s="79">
        <f t="shared" si="44"/>
        <v>27.5</v>
      </c>
      <c r="U292" s="1" t="b">
        <f t="shared" si="42"/>
        <v>0</v>
      </c>
      <c r="V292" s="46"/>
    </row>
    <row r="293" spans="1:22" x14ac:dyDescent="0.45">
      <c r="A293" s="42"/>
      <c r="B293" s="77" t="s">
        <v>542</v>
      </c>
      <c r="C293" s="77" t="s">
        <v>543</v>
      </c>
      <c r="D293" s="78">
        <v>2006</v>
      </c>
      <c r="E293" s="78">
        <v>2006</v>
      </c>
      <c r="F293" s="78">
        <v>4231</v>
      </c>
      <c r="G293" s="78">
        <v>302</v>
      </c>
      <c r="H293" s="78">
        <v>339</v>
      </c>
      <c r="I293" s="79">
        <f t="shared" si="36"/>
        <v>314.33333333333331</v>
      </c>
      <c r="J293" s="79">
        <f t="shared" si="37"/>
        <v>13.460233297985155</v>
      </c>
      <c r="K293" s="79">
        <f t="shared" si="38"/>
        <v>54.79400848356309</v>
      </c>
      <c r="L293" s="79">
        <v>60</v>
      </c>
      <c r="M293" s="79">
        <f t="shared" si="39"/>
        <v>0</v>
      </c>
      <c r="N293" s="79">
        <f t="shared" si="43"/>
        <v>54.79400848356309</v>
      </c>
      <c r="O293" s="78" t="str">
        <f t="shared" si="40"/>
        <v>T50</v>
      </c>
      <c r="P293" s="1" t="b">
        <f t="shared" si="41"/>
        <v>0</v>
      </c>
      <c r="R293" s="43" t="b">
        <v>0</v>
      </c>
      <c r="T293" s="79">
        <f t="shared" si="44"/>
        <v>0</v>
      </c>
      <c r="U293" s="1" t="b">
        <f t="shared" si="42"/>
        <v>0</v>
      </c>
    </row>
    <row r="294" spans="1:22" x14ac:dyDescent="0.45">
      <c r="A294" s="42"/>
      <c r="B294" s="77" t="s">
        <v>200</v>
      </c>
      <c r="C294" s="77" t="s">
        <v>201</v>
      </c>
      <c r="D294" s="78">
        <v>2002</v>
      </c>
      <c r="E294" s="78">
        <v>2002</v>
      </c>
      <c r="F294" s="78">
        <v>3500</v>
      </c>
      <c r="G294" s="78">
        <v>345</v>
      </c>
      <c r="H294" s="78">
        <v>376</v>
      </c>
      <c r="I294" s="79">
        <f t="shared" si="36"/>
        <v>355.33333333333331</v>
      </c>
      <c r="J294" s="79">
        <f t="shared" si="37"/>
        <v>9.8499061913696071</v>
      </c>
      <c r="K294" s="79">
        <f t="shared" si="38"/>
        <v>70.137898686679165</v>
      </c>
      <c r="L294" s="79">
        <v>70</v>
      </c>
      <c r="M294" s="79">
        <f t="shared" si="39"/>
        <v>5</v>
      </c>
      <c r="N294" s="79">
        <f t="shared" si="43"/>
        <v>75.137898686679165</v>
      </c>
      <c r="O294" s="78" t="str">
        <f t="shared" si="40"/>
        <v>T70</v>
      </c>
      <c r="P294" s="1" t="b">
        <f t="shared" si="41"/>
        <v>0</v>
      </c>
      <c r="R294" s="43" t="b">
        <v>0</v>
      </c>
      <c r="T294" s="79">
        <f t="shared" si="44"/>
        <v>5</v>
      </c>
      <c r="U294" s="1" t="b">
        <f t="shared" si="42"/>
        <v>0</v>
      </c>
    </row>
    <row r="295" spans="1:22" x14ac:dyDescent="0.45">
      <c r="A295" s="42"/>
      <c r="B295" s="77" t="s">
        <v>200</v>
      </c>
      <c r="C295" s="77" t="s">
        <v>415</v>
      </c>
      <c r="D295" s="78">
        <v>2011</v>
      </c>
      <c r="E295" s="78"/>
      <c r="F295" s="78">
        <v>3600</v>
      </c>
      <c r="G295" s="78">
        <v>363</v>
      </c>
      <c r="H295" s="78">
        <v>480</v>
      </c>
      <c r="I295" s="79">
        <f t="shared" si="36"/>
        <v>402</v>
      </c>
      <c r="J295" s="79">
        <f t="shared" si="37"/>
        <v>8.9552238805970141</v>
      </c>
      <c r="K295" s="79">
        <f t="shared" si="38"/>
        <v>73.9402985074627</v>
      </c>
      <c r="L295" s="79">
        <v>85</v>
      </c>
      <c r="M295" s="79">
        <f t="shared" si="39"/>
        <v>12.5</v>
      </c>
      <c r="N295" s="79">
        <f t="shared" si="43"/>
        <v>86.4402985074627</v>
      </c>
      <c r="O295" s="78" t="str">
        <f t="shared" si="40"/>
        <v>T80</v>
      </c>
      <c r="P295" s="1" t="b">
        <f t="shared" si="41"/>
        <v>0</v>
      </c>
      <c r="R295" s="43" t="b">
        <v>0</v>
      </c>
      <c r="T295" s="79">
        <f t="shared" si="44"/>
        <v>12.5</v>
      </c>
      <c r="U295" s="1" t="b">
        <f t="shared" si="42"/>
        <v>0</v>
      </c>
    </row>
    <row r="296" spans="1:22" x14ac:dyDescent="0.45">
      <c r="A296" s="42"/>
      <c r="B296" s="77" t="s">
        <v>327</v>
      </c>
      <c r="C296" s="77" t="s">
        <v>328</v>
      </c>
      <c r="D296" s="78">
        <v>1971</v>
      </c>
      <c r="E296" s="78">
        <v>1971</v>
      </c>
      <c r="F296" s="78">
        <v>1701</v>
      </c>
      <c r="G296" s="78">
        <v>54</v>
      </c>
      <c r="H296" s="78">
        <v>67</v>
      </c>
      <c r="I296" s="79">
        <f t="shared" si="36"/>
        <v>58.333333333333329</v>
      </c>
      <c r="J296" s="79">
        <f t="shared" si="37"/>
        <v>29.160000000000004</v>
      </c>
      <c r="K296" s="79">
        <f t="shared" si="38"/>
        <v>-11.930000000000021</v>
      </c>
      <c r="L296" s="79">
        <v>45</v>
      </c>
      <c r="M296" s="79">
        <f t="shared" si="39"/>
        <v>-7.5</v>
      </c>
      <c r="N296" s="79">
        <f t="shared" si="43"/>
        <v>-19.430000000000021</v>
      </c>
      <c r="O296" s="78" t="str">
        <f t="shared" si="40"/>
        <v>T30</v>
      </c>
      <c r="P296" s="1" t="b">
        <f t="shared" si="41"/>
        <v>0</v>
      </c>
      <c r="R296" s="43" t="b">
        <v>0</v>
      </c>
      <c r="T296" s="79">
        <f t="shared" si="44"/>
        <v>-7.5</v>
      </c>
      <c r="U296" s="1" t="b">
        <f t="shared" si="42"/>
        <v>0</v>
      </c>
    </row>
    <row r="297" spans="1:22" x14ac:dyDescent="0.45">
      <c r="A297" s="42"/>
      <c r="B297" s="77" t="s">
        <v>202</v>
      </c>
      <c r="C297" s="77" t="s">
        <v>203</v>
      </c>
      <c r="D297" s="78">
        <v>2001</v>
      </c>
      <c r="E297" s="78">
        <v>2006</v>
      </c>
      <c r="F297" s="78">
        <v>2519</v>
      </c>
      <c r="G297" s="78">
        <v>115</v>
      </c>
      <c r="H297" s="78">
        <v>111</v>
      </c>
      <c r="I297" s="79">
        <f t="shared" si="36"/>
        <v>113.66666666666666</v>
      </c>
      <c r="J297" s="79">
        <f t="shared" si="37"/>
        <v>22.161290322580648</v>
      </c>
      <c r="K297" s="79">
        <f t="shared" si="38"/>
        <v>17.814516129032242</v>
      </c>
      <c r="L297" s="79">
        <v>65</v>
      </c>
      <c r="M297" s="79">
        <f t="shared" si="39"/>
        <v>2.5</v>
      </c>
      <c r="N297" s="79">
        <f t="shared" si="43"/>
        <v>20.314516129032242</v>
      </c>
      <c r="O297" s="78" t="str">
        <f t="shared" si="40"/>
        <v>T30</v>
      </c>
      <c r="P297" s="1" t="b">
        <f t="shared" si="41"/>
        <v>0</v>
      </c>
      <c r="R297" s="43" t="b">
        <v>0</v>
      </c>
      <c r="T297" s="79">
        <f t="shared" si="44"/>
        <v>2.5</v>
      </c>
      <c r="U297" s="1" t="b">
        <f t="shared" si="42"/>
        <v>0</v>
      </c>
    </row>
    <row r="298" spans="1:22" x14ac:dyDescent="0.45">
      <c r="A298" s="42"/>
      <c r="B298" s="77" t="s">
        <v>202</v>
      </c>
      <c r="C298" s="77" t="s">
        <v>203</v>
      </c>
      <c r="D298" s="78">
        <v>2006</v>
      </c>
      <c r="E298" s="78"/>
      <c r="F298" s="78">
        <v>2568</v>
      </c>
      <c r="G298" s="78">
        <v>118</v>
      </c>
      <c r="H298" s="78">
        <v>114</v>
      </c>
      <c r="I298" s="79">
        <f t="shared" si="36"/>
        <v>116.66666666666666</v>
      </c>
      <c r="J298" s="79">
        <f t="shared" si="37"/>
        <v>22.011428571428574</v>
      </c>
      <c r="K298" s="79">
        <f t="shared" si="38"/>
        <v>18.451428571428565</v>
      </c>
      <c r="L298" s="79">
        <v>65</v>
      </c>
      <c r="M298" s="79">
        <f t="shared" si="39"/>
        <v>2.5</v>
      </c>
      <c r="N298" s="79">
        <f t="shared" si="43"/>
        <v>20.951428571428565</v>
      </c>
      <c r="O298" s="78" t="str">
        <f t="shared" si="40"/>
        <v>T30</v>
      </c>
      <c r="P298" s="1" t="b">
        <f t="shared" si="41"/>
        <v>0</v>
      </c>
      <c r="R298" s="43" t="b">
        <v>0</v>
      </c>
      <c r="T298" s="79">
        <f t="shared" si="44"/>
        <v>2.5</v>
      </c>
      <c r="U298" s="1" t="b">
        <f t="shared" si="42"/>
        <v>0</v>
      </c>
    </row>
    <row r="299" spans="1:22" x14ac:dyDescent="0.45">
      <c r="A299" s="42"/>
      <c r="B299" s="77" t="s">
        <v>202</v>
      </c>
      <c r="C299" s="77" t="s">
        <v>204</v>
      </c>
      <c r="D299" s="78">
        <v>2005</v>
      </c>
      <c r="E299" s="78">
        <v>2005</v>
      </c>
      <c r="F299" s="78">
        <v>2678</v>
      </c>
      <c r="G299" s="78">
        <v>168</v>
      </c>
      <c r="H299" s="78">
        <v>162</v>
      </c>
      <c r="I299" s="79">
        <f t="shared" si="36"/>
        <v>166</v>
      </c>
      <c r="J299" s="79">
        <f t="shared" si="37"/>
        <v>16.132530120481928</v>
      </c>
      <c r="K299" s="79">
        <f t="shared" si="38"/>
        <v>43.436746987951807</v>
      </c>
      <c r="L299" s="79">
        <v>70</v>
      </c>
      <c r="M299" s="79">
        <f t="shared" si="39"/>
        <v>5</v>
      </c>
      <c r="N299" s="79">
        <f t="shared" si="43"/>
        <v>48.436746987951807</v>
      </c>
      <c r="O299" s="78" t="str">
        <f t="shared" si="40"/>
        <v>T40</v>
      </c>
      <c r="P299" s="1" t="b">
        <f t="shared" si="41"/>
        <v>0</v>
      </c>
      <c r="R299" s="43" t="b">
        <v>0</v>
      </c>
      <c r="T299" s="79">
        <f t="shared" si="44"/>
        <v>5</v>
      </c>
      <c r="U299" s="1" t="b">
        <f t="shared" si="42"/>
        <v>0</v>
      </c>
    </row>
    <row r="300" spans="1:22" x14ac:dyDescent="0.45">
      <c r="A300" s="42"/>
      <c r="B300" s="77" t="s">
        <v>202</v>
      </c>
      <c r="C300" s="77" t="s">
        <v>204</v>
      </c>
      <c r="D300" s="78">
        <v>2006</v>
      </c>
      <c r="E300" s="78"/>
      <c r="F300" s="78">
        <v>2679</v>
      </c>
      <c r="G300" s="78">
        <v>172</v>
      </c>
      <c r="H300" s="78">
        <v>177</v>
      </c>
      <c r="I300" s="79">
        <f t="shared" si="36"/>
        <v>173.66666666666666</v>
      </c>
      <c r="J300" s="79">
        <f t="shared" si="37"/>
        <v>15.426103646833015</v>
      </c>
      <c r="K300" s="79">
        <f t="shared" si="38"/>
        <v>46.439059500959686</v>
      </c>
      <c r="L300" s="79">
        <v>70</v>
      </c>
      <c r="M300" s="79">
        <f t="shared" si="39"/>
        <v>5</v>
      </c>
      <c r="N300" s="79">
        <f t="shared" si="43"/>
        <v>51.439059500959686</v>
      </c>
      <c r="O300" s="78" t="str">
        <f t="shared" si="40"/>
        <v>T50</v>
      </c>
      <c r="P300" s="1" t="b">
        <f t="shared" si="41"/>
        <v>0</v>
      </c>
      <c r="R300" s="43" t="b">
        <v>0</v>
      </c>
      <c r="T300" s="79">
        <f t="shared" si="44"/>
        <v>5</v>
      </c>
      <c r="U300" s="1" t="b">
        <f t="shared" si="42"/>
        <v>0</v>
      </c>
    </row>
    <row r="301" spans="1:22" x14ac:dyDescent="0.45">
      <c r="A301" s="42"/>
      <c r="B301" s="89" t="s">
        <v>567</v>
      </c>
      <c r="C301" s="89" t="s">
        <v>643</v>
      </c>
      <c r="D301" s="84">
        <v>2004</v>
      </c>
      <c r="E301" s="84"/>
      <c r="F301" s="84">
        <v>2678</v>
      </c>
      <c r="G301" s="84">
        <v>200</v>
      </c>
      <c r="H301" s="84">
        <v>177</v>
      </c>
      <c r="I301" s="85">
        <f t="shared" si="36"/>
        <v>192.33333333333331</v>
      </c>
      <c r="J301" s="85">
        <f t="shared" si="37"/>
        <v>13.923743500866552</v>
      </c>
      <c r="K301" s="79">
        <f t="shared" si="38"/>
        <v>52.824090121317155</v>
      </c>
      <c r="L301" s="85">
        <v>70</v>
      </c>
      <c r="M301" s="79">
        <f t="shared" si="39"/>
        <v>5</v>
      </c>
      <c r="N301" s="85">
        <f t="shared" si="43"/>
        <v>57.824090121317155</v>
      </c>
      <c r="O301" s="78" t="str">
        <f t="shared" si="40"/>
        <v>T50</v>
      </c>
      <c r="P301" s="1" t="b">
        <f t="shared" si="41"/>
        <v>0</v>
      </c>
      <c r="R301" s="43" t="b">
        <v>0</v>
      </c>
      <c r="T301" s="79">
        <f t="shared" si="44"/>
        <v>5</v>
      </c>
      <c r="U301" s="1" t="b">
        <f t="shared" si="42"/>
        <v>0</v>
      </c>
    </row>
    <row r="302" spans="1:22" x14ac:dyDescent="0.45">
      <c r="A302" s="42"/>
      <c r="B302" s="89" t="s">
        <v>567</v>
      </c>
      <c r="C302" s="89" t="s">
        <v>568</v>
      </c>
      <c r="D302" s="84">
        <v>2013</v>
      </c>
      <c r="E302" s="84">
        <v>2013</v>
      </c>
      <c r="F302" s="84">
        <v>2624</v>
      </c>
      <c r="G302" s="84">
        <v>211</v>
      </c>
      <c r="H302" s="84">
        <v>207</v>
      </c>
      <c r="I302" s="85">
        <f t="shared" si="36"/>
        <v>209.66666666666666</v>
      </c>
      <c r="J302" s="85">
        <f t="shared" si="37"/>
        <v>12.51510333863275</v>
      </c>
      <c r="K302" s="79">
        <f t="shared" si="38"/>
        <v>58.810810810810814</v>
      </c>
      <c r="L302" s="85">
        <v>80</v>
      </c>
      <c r="M302" s="79">
        <f t="shared" si="39"/>
        <v>10</v>
      </c>
      <c r="N302" s="85">
        <f t="shared" si="43"/>
        <v>68.810810810810807</v>
      </c>
      <c r="O302" s="78" t="str">
        <f t="shared" si="40"/>
        <v>T60</v>
      </c>
      <c r="P302" s="1" t="b">
        <f t="shared" si="41"/>
        <v>0</v>
      </c>
      <c r="R302" s="43" t="b">
        <v>0</v>
      </c>
      <c r="T302" s="79">
        <f t="shared" si="44"/>
        <v>10</v>
      </c>
      <c r="U302" s="1" t="b">
        <f t="shared" si="42"/>
        <v>0</v>
      </c>
    </row>
    <row r="303" spans="1:22" x14ac:dyDescent="0.45">
      <c r="A303" s="42"/>
      <c r="B303" s="77" t="s">
        <v>205</v>
      </c>
      <c r="C303" s="77" t="s">
        <v>282</v>
      </c>
      <c r="D303" s="78">
        <v>1995</v>
      </c>
      <c r="E303" s="78">
        <v>1999</v>
      </c>
      <c r="F303" s="78">
        <v>2767</v>
      </c>
      <c r="G303" s="78">
        <v>210</v>
      </c>
      <c r="H303" s="78">
        <v>214</v>
      </c>
      <c r="I303" s="79">
        <f t="shared" si="36"/>
        <v>211.33333333333331</v>
      </c>
      <c r="J303" s="79">
        <f t="shared" si="37"/>
        <v>13.093059936908519</v>
      </c>
      <c r="K303" s="79">
        <f t="shared" si="38"/>
        <v>56.354495268138791</v>
      </c>
      <c r="L303" s="79">
        <v>50</v>
      </c>
      <c r="M303" s="79">
        <f t="shared" si="39"/>
        <v>-5</v>
      </c>
      <c r="N303" s="79">
        <f t="shared" si="43"/>
        <v>51.354495268138791</v>
      </c>
      <c r="O303" s="78" t="str">
        <f t="shared" si="40"/>
        <v>T50</v>
      </c>
      <c r="P303" s="1" t="b">
        <f t="shared" si="41"/>
        <v>0</v>
      </c>
      <c r="R303" s="43" t="b">
        <v>0</v>
      </c>
      <c r="T303" s="79">
        <f t="shared" si="44"/>
        <v>-5</v>
      </c>
      <c r="U303" s="1" t="b">
        <f t="shared" si="42"/>
        <v>0</v>
      </c>
    </row>
    <row r="304" spans="1:22" x14ac:dyDescent="0.45">
      <c r="A304" s="42"/>
      <c r="B304" s="77" t="s">
        <v>205</v>
      </c>
      <c r="C304" s="77" t="s">
        <v>499</v>
      </c>
      <c r="D304" s="78">
        <v>1995</v>
      </c>
      <c r="E304" s="78">
        <v>1999</v>
      </c>
      <c r="F304" s="78">
        <v>3157</v>
      </c>
      <c r="G304" s="78">
        <v>210</v>
      </c>
      <c r="H304" s="78">
        <v>214</v>
      </c>
      <c r="I304" s="79">
        <f t="shared" si="36"/>
        <v>211.33333333333331</v>
      </c>
      <c r="J304" s="79">
        <f t="shared" si="37"/>
        <v>14.938485804416406</v>
      </c>
      <c r="K304" s="79">
        <f t="shared" si="38"/>
        <v>48.511435331230274</v>
      </c>
      <c r="L304" s="79">
        <v>65</v>
      </c>
      <c r="M304" s="79">
        <f t="shared" si="39"/>
        <v>2.5</v>
      </c>
      <c r="N304" s="79">
        <f t="shared" si="43"/>
        <v>51.011435331230274</v>
      </c>
      <c r="O304" s="78" t="str">
        <f t="shared" si="40"/>
        <v>T50</v>
      </c>
      <c r="P304" s="1" t="b">
        <f t="shared" si="41"/>
        <v>0</v>
      </c>
      <c r="R304" s="43" t="b">
        <v>0</v>
      </c>
      <c r="T304" s="79">
        <f t="shared" si="44"/>
        <v>2.5</v>
      </c>
      <c r="U304" s="1" t="b">
        <f t="shared" si="42"/>
        <v>0</v>
      </c>
    </row>
    <row r="305" spans="1:22" x14ac:dyDescent="0.45">
      <c r="A305" s="42"/>
      <c r="B305" s="77" t="s">
        <v>205</v>
      </c>
      <c r="C305" s="77" t="s">
        <v>206</v>
      </c>
      <c r="D305" s="78">
        <v>2000</v>
      </c>
      <c r="E305" s="78">
        <v>2005</v>
      </c>
      <c r="F305" s="78">
        <v>3053</v>
      </c>
      <c r="G305" s="78">
        <v>200</v>
      </c>
      <c r="H305" s="78">
        <v>205</v>
      </c>
      <c r="I305" s="79">
        <f t="shared" si="36"/>
        <v>201.66666666666663</v>
      </c>
      <c r="J305" s="79">
        <f t="shared" si="37"/>
        <v>15.138842975206614</v>
      </c>
      <c r="K305" s="79">
        <f t="shared" si="38"/>
        <v>47.659917355371888</v>
      </c>
      <c r="L305" s="79">
        <v>55</v>
      </c>
      <c r="M305" s="79">
        <f t="shared" si="39"/>
        <v>-2.5</v>
      </c>
      <c r="N305" s="79">
        <f t="shared" si="43"/>
        <v>45.159917355371888</v>
      </c>
      <c r="O305" s="78" t="str">
        <f t="shared" si="40"/>
        <v>T40</v>
      </c>
      <c r="P305" s="1" t="b">
        <f t="shared" si="41"/>
        <v>0</v>
      </c>
      <c r="R305" s="43" t="b">
        <v>0</v>
      </c>
      <c r="T305" s="79">
        <f t="shared" si="44"/>
        <v>-2.5</v>
      </c>
      <c r="U305" s="1" t="b">
        <f t="shared" si="42"/>
        <v>0</v>
      </c>
    </row>
    <row r="306" spans="1:22" x14ac:dyDescent="0.45">
      <c r="A306" s="42"/>
      <c r="B306" s="90" t="s">
        <v>205</v>
      </c>
      <c r="C306" s="90" t="s">
        <v>577</v>
      </c>
      <c r="D306" s="86">
        <v>2006</v>
      </c>
      <c r="E306" s="86">
        <v>2006</v>
      </c>
      <c r="F306" s="86">
        <v>3472</v>
      </c>
      <c r="G306" s="86">
        <v>263</v>
      </c>
      <c r="H306" s="86">
        <v>260</v>
      </c>
      <c r="I306" s="85">
        <f t="shared" si="36"/>
        <v>262</v>
      </c>
      <c r="J306" s="85">
        <f t="shared" si="37"/>
        <v>13.251908396946565</v>
      </c>
      <c r="K306" s="79">
        <f t="shared" si="38"/>
        <v>55.679389312977101</v>
      </c>
      <c r="L306" s="87">
        <v>55</v>
      </c>
      <c r="M306" s="79">
        <f t="shared" si="39"/>
        <v>-2.5</v>
      </c>
      <c r="N306" s="79">
        <f t="shared" si="43"/>
        <v>53.179389312977101</v>
      </c>
      <c r="O306" s="78" t="str">
        <f t="shared" si="40"/>
        <v>T50</v>
      </c>
      <c r="P306" s="1" t="b">
        <f t="shared" si="41"/>
        <v>0</v>
      </c>
      <c r="R306" s="43" t="b">
        <v>0</v>
      </c>
      <c r="T306" s="79">
        <f t="shared" si="44"/>
        <v>-2.5</v>
      </c>
      <c r="U306" s="1" t="b">
        <f t="shared" si="42"/>
        <v>0</v>
      </c>
    </row>
    <row r="307" spans="1:22" x14ac:dyDescent="0.45">
      <c r="A307" s="42"/>
      <c r="B307" s="77" t="s">
        <v>205</v>
      </c>
      <c r="C307" s="77" t="s">
        <v>207</v>
      </c>
      <c r="D307" s="78">
        <v>1992</v>
      </c>
      <c r="E307" s="78">
        <v>1996</v>
      </c>
      <c r="F307" s="78">
        <v>3200</v>
      </c>
      <c r="G307" s="78">
        <v>237</v>
      </c>
      <c r="H307" s="78">
        <v>228</v>
      </c>
      <c r="I307" s="79">
        <f t="shared" si="36"/>
        <v>234</v>
      </c>
      <c r="J307" s="79">
        <f t="shared" si="37"/>
        <v>13.675213675213675</v>
      </c>
      <c r="K307" s="79">
        <f t="shared" si="38"/>
        <v>53.880341880341881</v>
      </c>
      <c r="L307" s="79">
        <v>50</v>
      </c>
      <c r="M307" s="79">
        <f t="shared" si="39"/>
        <v>-5</v>
      </c>
      <c r="N307" s="79">
        <f t="shared" si="43"/>
        <v>48.880341880341881</v>
      </c>
      <c r="O307" s="78" t="str">
        <f t="shared" si="40"/>
        <v>T40</v>
      </c>
      <c r="P307" s="1" t="b">
        <f t="shared" si="41"/>
        <v>0</v>
      </c>
      <c r="R307" s="43" t="b">
        <v>0</v>
      </c>
      <c r="T307" s="79">
        <f t="shared" si="44"/>
        <v>-5</v>
      </c>
      <c r="U307" s="1" t="b">
        <f t="shared" si="42"/>
        <v>0</v>
      </c>
    </row>
    <row r="308" spans="1:22" x14ac:dyDescent="0.45">
      <c r="A308" s="42"/>
      <c r="B308" s="77" t="s">
        <v>205</v>
      </c>
      <c r="C308" s="77" t="s">
        <v>207</v>
      </c>
      <c r="D308" s="78">
        <v>1996</v>
      </c>
      <c r="E308" s="78">
        <v>2003</v>
      </c>
      <c r="F308" s="78">
        <v>3400</v>
      </c>
      <c r="G308" s="78">
        <v>276</v>
      </c>
      <c r="H308" s="78">
        <v>271</v>
      </c>
      <c r="I308" s="79">
        <f t="shared" si="36"/>
        <v>274.33333333333331</v>
      </c>
      <c r="J308" s="79">
        <f t="shared" si="37"/>
        <v>12.393681652490887</v>
      </c>
      <c r="K308" s="79">
        <f t="shared" si="38"/>
        <v>59.326852976913727</v>
      </c>
      <c r="L308" s="79">
        <v>55</v>
      </c>
      <c r="M308" s="79">
        <f t="shared" si="39"/>
        <v>-2.5</v>
      </c>
      <c r="N308" s="79">
        <f t="shared" si="43"/>
        <v>56.826852976913727</v>
      </c>
      <c r="O308" s="78" t="str">
        <f t="shared" si="40"/>
        <v>T50</v>
      </c>
      <c r="P308" s="1" t="b">
        <f t="shared" si="41"/>
        <v>0</v>
      </c>
      <c r="R308" s="43" t="b">
        <v>0</v>
      </c>
      <c r="T308" s="79">
        <f t="shared" si="44"/>
        <v>-2.5</v>
      </c>
      <c r="U308" s="1" t="b">
        <f t="shared" si="42"/>
        <v>0</v>
      </c>
    </row>
    <row r="309" spans="1:22" x14ac:dyDescent="0.45">
      <c r="A309" s="42"/>
      <c r="B309" s="77" t="s">
        <v>205</v>
      </c>
      <c r="C309" s="77" t="s">
        <v>729</v>
      </c>
      <c r="D309" s="78">
        <v>1992</v>
      </c>
      <c r="E309" s="78">
        <v>1993</v>
      </c>
      <c r="F309" s="78">
        <v>2730</v>
      </c>
      <c r="G309" s="78">
        <v>244</v>
      </c>
      <c r="H309" s="78">
        <v>228</v>
      </c>
      <c r="I309" s="79">
        <f t="shared" si="36"/>
        <v>238.66666666666666</v>
      </c>
      <c r="J309" s="79">
        <f t="shared" si="37"/>
        <v>11.438547486033521</v>
      </c>
      <c r="K309" s="79">
        <f t="shared" si="38"/>
        <v>63.386173184357538</v>
      </c>
      <c r="L309" s="79">
        <v>65</v>
      </c>
      <c r="M309" s="79">
        <f t="shared" si="39"/>
        <v>2.5</v>
      </c>
      <c r="N309" s="79">
        <f t="shared" si="43"/>
        <v>65.886173184357546</v>
      </c>
      <c r="O309" s="78" t="str">
        <f t="shared" si="40"/>
        <v>T60</v>
      </c>
      <c r="P309" s="1" t="b">
        <f t="shared" si="41"/>
        <v>0</v>
      </c>
      <c r="R309" s="43" t="b">
        <v>0</v>
      </c>
      <c r="T309" s="79">
        <f t="shared" si="44"/>
        <v>2.5</v>
      </c>
      <c r="U309" s="1" t="b">
        <f t="shared" si="42"/>
        <v>0</v>
      </c>
      <c r="V309" s="46"/>
    </row>
    <row r="310" spans="1:22" x14ac:dyDescent="0.45">
      <c r="A310" s="42"/>
      <c r="B310" s="77" t="s">
        <v>205</v>
      </c>
      <c r="C310" s="77" t="s">
        <v>283</v>
      </c>
      <c r="D310" s="78">
        <v>1994</v>
      </c>
      <c r="E310" s="78">
        <v>1995</v>
      </c>
      <c r="F310" s="78">
        <v>2756</v>
      </c>
      <c r="G310" s="78">
        <v>260</v>
      </c>
      <c r="H310" s="78">
        <v>228</v>
      </c>
      <c r="I310" s="79">
        <f t="shared" si="36"/>
        <v>249.33333333333331</v>
      </c>
      <c r="J310" s="79">
        <f t="shared" si="37"/>
        <v>11.053475935828878</v>
      </c>
      <c r="K310" s="79">
        <f t="shared" si="38"/>
        <v>65.022727272727266</v>
      </c>
      <c r="L310" s="79">
        <v>70</v>
      </c>
      <c r="M310" s="79">
        <f t="shared" si="39"/>
        <v>5</v>
      </c>
      <c r="N310" s="79">
        <f t="shared" si="43"/>
        <v>70.022727272727266</v>
      </c>
      <c r="O310" s="78" t="str">
        <f t="shared" si="40"/>
        <v>T70</v>
      </c>
      <c r="P310" s="1" t="b">
        <f t="shared" si="41"/>
        <v>0</v>
      </c>
      <c r="R310" s="43" t="b">
        <v>0</v>
      </c>
      <c r="T310" s="79">
        <f t="shared" si="44"/>
        <v>5</v>
      </c>
      <c r="U310" s="1" t="b">
        <f t="shared" si="42"/>
        <v>0</v>
      </c>
    </row>
    <row r="311" spans="1:22" x14ac:dyDescent="0.45">
      <c r="A311" s="42"/>
      <c r="B311" s="77" t="s">
        <v>205</v>
      </c>
      <c r="C311" s="77" t="s">
        <v>286</v>
      </c>
      <c r="D311" s="78">
        <v>2005</v>
      </c>
      <c r="E311" s="78">
        <v>2007</v>
      </c>
      <c r="F311" s="78">
        <v>3285</v>
      </c>
      <c r="G311" s="78">
        <v>286</v>
      </c>
      <c r="H311" s="78">
        <v>289</v>
      </c>
      <c r="I311" s="79">
        <f t="shared" si="36"/>
        <v>287</v>
      </c>
      <c r="J311" s="79">
        <f t="shared" si="37"/>
        <v>11.445993031358885</v>
      </c>
      <c r="K311" s="79">
        <f t="shared" si="38"/>
        <v>63.35452961672474</v>
      </c>
      <c r="L311" s="79">
        <v>80</v>
      </c>
      <c r="M311" s="79">
        <f t="shared" si="39"/>
        <v>10</v>
      </c>
      <c r="N311" s="79">
        <f t="shared" si="43"/>
        <v>73.354529616724733</v>
      </c>
      <c r="O311" s="78" t="str">
        <f t="shared" si="40"/>
        <v>T70</v>
      </c>
      <c r="P311" s="1" t="b">
        <f t="shared" si="41"/>
        <v>0</v>
      </c>
      <c r="R311" s="43" t="b">
        <v>0</v>
      </c>
      <c r="T311" s="79">
        <f t="shared" si="44"/>
        <v>10</v>
      </c>
      <c r="U311" s="1" t="b">
        <f t="shared" si="42"/>
        <v>0</v>
      </c>
    </row>
    <row r="312" spans="1:22" x14ac:dyDescent="0.45">
      <c r="A312" s="42"/>
      <c r="B312" s="77" t="s">
        <v>205</v>
      </c>
      <c r="C312" s="77" t="s">
        <v>284</v>
      </c>
      <c r="D312" s="78">
        <v>2001</v>
      </c>
      <c r="E312" s="78">
        <v>2003</v>
      </c>
      <c r="F312" s="78">
        <v>3086</v>
      </c>
      <c r="G312" s="78">
        <v>280</v>
      </c>
      <c r="H312" s="78">
        <v>283</v>
      </c>
      <c r="I312" s="79">
        <f t="shared" si="36"/>
        <v>281</v>
      </c>
      <c r="J312" s="79">
        <f t="shared" si="37"/>
        <v>10.982206405693951</v>
      </c>
      <c r="K312" s="79">
        <f t="shared" si="38"/>
        <v>65.32562277580071</v>
      </c>
      <c r="L312" s="79">
        <v>75</v>
      </c>
      <c r="M312" s="79">
        <f t="shared" si="39"/>
        <v>7.5</v>
      </c>
      <c r="N312" s="79">
        <f t="shared" si="43"/>
        <v>72.82562277580071</v>
      </c>
      <c r="O312" s="78" t="str">
        <f t="shared" si="40"/>
        <v>T70</v>
      </c>
      <c r="P312" s="1" t="b">
        <f t="shared" si="41"/>
        <v>0</v>
      </c>
      <c r="R312" s="43" t="b">
        <v>0</v>
      </c>
      <c r="T312" s="79">
        <f t="shared" si="44"/>
        <v>7.5</v>
      </c>
      <c r="U312" s="1" t="b">
        <f t="shared" si="42"/>
        <v>0</v>
      </c>
    </row>
    <row r="313" spans="1:22" x14ac:dyDescent="0.45">
      <c r="A313" s="42"/>
      <c r="B313" s="77" t="s">
        <v>205</v>
      </c>
      <c r="C313" s="77" t="s">
        <v>285</v>
      </c>
      <c r="D313" s="78">
        <v>2003</v>
      </c>
      <c r="E313" s="78">
        <v>2005</v>
      </c>
      <c r="F313" s="78">
        <v>3241</v>
      </c>
      <c r="G313" s="78">
        <v>271</v>
      </c>
      <c r="H313" s="78">
        <v>273</v>
      </c>
      <c r="I313" s="79">
        <f t="shared" si="36"/>
        <v>271.66666666666663</v>
      </c>
      <c r="J313" s="79">
        <f t="shared" si="37"/>
        <v>11.930061349693252</v>
      </c>
      <c r="K313" s="79">
        <f t="shared" si="38"/>
        <v>61.297239263803675</v>
      </c>
      <c r="L313" s="79">
        <v>80</v>
      </c>
      <c r="M313" s="79">
        <f t="shared" si="39"/>
        <v>10</v>
      </c>
      <c r="N313" s="79">
        <f t="shared" si="43"/>
        <v>71.297239263803675</v>
      </c>
      <c r="O313" s="78" t="str">
        <f t="shared" si="40"/>
        <v>T70</v>
      </c>
      <c r="P313" s="1" t="b">
        <f t="shared" si="41"/>
        <v>0</v>
      </c>
      <c r="R313" s="43" t="b">
        <v>0</v>
      </c>
      <c r="T313" s="79">
        <f t="shared" si="44"/>
        <v>10</v>
      </c>
      <c r="U313" s="1" t="b">
        <f t="shared" si="42"/>
        <v>0</v>
      </c>
    </row>
    <row r="314" spans="1:22" x14ac:dyDescent="0.45">
      <c r="A314" s="42"/>
      <c r="B314" s="77" t="s">
        <v>205</v>
      </c>
      <c r="C314" s="77" t="s">
        <v>287</v>
      </c>
      <c r="D314" s="78">
        <v>2008</v>
      </c>
      <c r="E314" s="78"/>
      <c r="F314" s="78">
        <v>3527</v>
      </c>
      <c r="G314" s="78">
        <v>295</v>
      </c>
      <c r="H314" s="78">
        <v>311</v>
      </c>
      <c r="I314" s="79">
        <f t="shared" si="36"/>
        <v>300.33333333333331</v>
      </c>
      <c r="J314" s="79">
        <f t="shared" si="37"/>
        <v>11.743618201997782</v>
      </c>
      <c r="K314" s="79">
        <f t="shared" si="38"/>
        <v>62.089622641509429</v>
      </c>
      <c r="L314" s="79">
        <v>85</v>
      </c>
      <c r="M314" s="79">
        <f t="shared" si="39"/>
        <v>12.5</v>
      </c>
      <c r="N314" s="79">
        <f t="shared" si="43"/>
        <v>74.589622641509436</v>
      </c>
      <c r="O314" s="78" t="str">
        <f t="shared" si="40"/>
        <v>T70</v>
      </c>
      <c r="P314" s="1" t="b">
        <f t="shared" si="41"/>
        <v>0</v>
      </c>
      <c r="R314" s="43" t="b">
        <v>0</v>
      </c>
      <c r="T314" s="79">
        <f t="shared" si="44"/>
        <v>12.5</v>
      </c>
      <c r="U314" s="1" t="b">
        <f t="shared" si="42"/>
        <v>0</v>
      </c>
    </row>
    <row r="315" spans="1:22" x14ac:dyDescent="0.45">
      <c r="A315" s="42"/>
      <c r="B315" s="77" t="s">
        <v>208</v>
      </c>
      <c r="C315" s="77" t="s">
        <v>416</v>
      </c>
      <c r="D315" s="78">
        <v>1995</v>
      </c>
      <c r="E315" s="78">
        <v>1995</v>
      </c>
      <c r="F315" s="78">
        <v>2366</v>
      </c>
      <c r="G315" s="78">
        <v>115</v>
      </c>
      <c r="H315" s="78">
        <v>108</v>
      </c>
      <c r="I315" s="79">
        <f t="shared" si="36"/>
        <v>112.66666666666666</v>
      </c>
      <c r="J315" s="79">
        <f t="shared" si="37"/>
        <v>21</v>
      </c>
      <c r="K315" s="79">
        <f t="shared" si="38"/>
        <v>22.75</v>
      </c>
      <c r="L315" s="79">
        <v>45</v>
      </c>
      <c r="M315" s="79">
        <f t="shared" si="39"/>
        <v>-7.5</v>
      </c>
      <c r="N315" s="79">
        <f t="shared" si="43"/>
        <v>15.25</v>
      </c>
      <c r="O315" s="78" t="str">
        <f t="shared" si="40"/>
        <v>T30</v>
      </c>
      <c r="P315" s="1" t="b">
        <f t="shared" si="41"/>
        <v>0</v>
      </c>
      <c r="R315" s="43" t="b">
        <v>0</v>
      </c>
      <c r="T315" s="79">
        <f t="shared" si="44"/>
        <v>-7.5</v>
      </c>
      <c r="U315" s="1" t="b">
        <f t="shared" si="42"/>
        <v>0</v>
      </c>
    </row>
    <row r="316" spans="1:22" x14ac:dyDescent="0.45">
      <c r="A316" s="42"/>
      <c r="B316" s="77" t="s">
        <v>208</v>
      </c>
      <c r="C316" s="77" t="s">
        <v>416</v>
      </c>
      <c r="D316" s="78">
        <v>1996</v>
      </c>
      <c r="E316" s="78">
        <v>1997</v>
      </c>
      <c r="F316" s="78">
        <v>2348</v>
      </c>
      <c r="G316" s="78">
        <v>115</v>
      </c>
      <c r="H316" s="78">
        <v>108</v>
      </c>
      <c r="I316" s="79">
        <f t="shared" si="36"/>
        <v>112.66666666666666</v>
      </c>
      <c r="J316" s="79">
        <f t="shared" si="37"/>
        <v>20.840236686390533</v>
      </c>
      <c r="K316" s="79">
        <f t="shared" si="38"/>
        <v>23.428994082840234</v>
      </c>
      <c r="L316" s="79">
        <v>45</v>
      </c>
      <c r="M316" s="79">
        <f t="shared" si="39"/>
        <v>-7.5</v>
      </c>
      <c r="N316" s="79">
        <f t="shared" si="43"/>
        <v>15.928994082840234</v>
      </c>
      <c r="O316" s="78" t="str">
        <f t="shared" si="40"/>
        <v>T30</v>
      </c>
      <c r="P316" s="1" t="b">
        <f t="shared" si="41"/>
        <v>0</v>
      </c>
      <c r="R316" s="43" t="b">
        <v>0</v>
      </c>
      <c r="T316" s="79">
        <f t="shared" si="44"/>
        <v>-7.5</v>
      </c>
      <c r="U316" s="1" t="b">
        <f t="shared" si="42"/>
        <v>0</v>
      </c>
    </row>
    <row r="317" spans="1:22" x14ac:dyDescent="0.45">
      <c r="A317" s="42"/>
      <c r="B317" s="77" t="s">
        <v>208</v>
      </c>
      <c r="C317" s="77" t="s">
        <v>416</v>
      </c>
      <c r="D317" s="78">
        <v>1998</v>
      </c>
      <c r="E317" s="78">
        <v>1998</v>
      </c>
      <c r="F317" s="78">
        <v>2418</v>
      </c>
      <c r="G317" s="78">
        <v>115</v>
      </c>
      <c r="H317" s="78">
        <v>108</v>
      </c>
      <c r="I317" s="79">
        <f t="shared" si="36"/>
        <v>112.66666666666666</v>
      </c>
      <c r="J317" s="79">
        <f t="shared" si="37"/>
        <v>21.461538461538463</v>
      </c>
      <c r="K317" s="79">
        <f t="shared" si="38"/>
        <v>20.788461538461533</v>
      </c>
      <c r="L317" s="79">
        <v>45</v>
      </c>
      <c r="M317" s="79">
        <f t="shared" si="39"/>
        <v>-7.5</v>
      </c>
      <c r="N317" s="79">
        <f t="shared" si="43"/>
        <v>13.288461538461533</v>
      </c>
      <c r="O317" s="78" t="str">
        <f t="shared" si="40"/>
        <v>T30</v>
      </c>
      <c r="P317" s="1" t="b">
        <f t="shared" si="41"/>
        <v>0</v>
      </c>
      <c r="R317" s="43" t="b">
        <v>0</v>
      </c>
      <c r="T317" s="79">
        <f t="shared" si="44"/>
        <v>-7.5</v>
      </c>
      <c r="U317" s="1" t="b">
        <f t="shared" si="42"/>
        <v>0</v>
      </c>
    </row>
    <row r="318" spans="1:22" x14ac:dyDescent="0.45">
      <c r="A318" s="42"/>
      <c r="B318" s="77" t="s">
        <v>208</v>
      </c>
      <c r="C318" s="77" t="s">
        <v>417</v>
      </c>
      <c r="D318" s="78">
        <v>1995</v>
      </c>
      <c r="E318" s="78">
        <v>1995</v>
      </c>
      <c r="F318" s="78">
        <v>2535</v>
      </c>
      <c r="G318" s="78">
        <v>140</v>
      </c>
      <c r="H318" s="78">
        <v>132</v>
      </c>
      <c r="I318" s="79">
        <f t="shared" si="36"/>
        <v>137.33333333333331</v>
      </c>
      <c r="J318" s="79">
        <f t="shared" si="37"/>
        <v>18.458737864077673</v>
      </c>
      <c r="K318" s="79">
        <f t="shared" si="38"/>
        <v>33.550364077669897</v>
      </c>
      <c r="L318" s="79">
        <v>50</v>
      </c>
      <c r="M318" s="79">
        <f t="shared" si="39"/>
        <v>-5</v>
      </c>
      <c r="N318" s="79">
        <f t="shared" si="43"/>
        <v>28.550364077669897</v>
      </c>
      <c r="O318" s="78" t="str">
        <f t="shared" si="40"/>
        <v>T30</v>
      </c>
      <c r="P318" s="1" t="b">
        <f t="shared" si="41"/>
        <v>0</v>
      </c>
      <c r="R318" s="43" t="b">
        <v>0</v>
      </c>
      <c r="T318" s="79">
        <f t="shared" si="44"/>
        <v>-5</v>
      </c>
      <c r="U318" s="1" t="b">
        <f t="shared" si="42"/>
        <v>0</v>
      </c>
    </row>
    <row r="319" spans="1:22" x14ac:dyDescent="0.45">
      <c r="A319" s="42"/>
      <c r="B319" s="77" t="s">
        <v>208</v>
      </c>
      <c r="C319" s="77" t="s">
        <v>417</v>
      </c>
      <c r="D319" s="78">
        <v>1996</v>
      </c>
      <c r="E319" s="78">
        <v>1997</v>
      </c>
      <c r="F319" s="78">
        <v>2491</v>
      </c>
      <c r="G319" s="78">
        <v>140</v>
      </c>
      <c r="H319" s="78">
        <v>132</v>
      </c>
      <c r="I319" s="79">
        <f t="shared" si="36"/>
        <v>137.33333333333331</v>
      </c>
      <c r="J319" s="79">
        <f t="shared" si="37"/>
        <v>18.13834951456311</v>
      </c>
      <c r="K319" s="79">
        <f t="shared" si="38"/>
        <v>34.91201456310678</v>
      </c>
      <c r="L319" s="79">
        <v>50</v>
      </c>
      <c r="M319" s="79">
        <f t="shared" si="39"/>
        <v>-5</v>
      </c>
      <c r="N319" s="79">
        <f t="shared" si="43"/>
        <v>29.91201456310678</v>
      </c>
      <c r="O319" s="78" t="str">
        <f t="shared" si="40"/>
        <v>T30</v>
      </c>
      <c r="P319" s="1" t="b">
        <f t="shared" si="41"/>
        <v>0</v>
      </c>
      <c r="R319" s="43" t="b">
        <v>0</v>
      </c>
      <c r="T319" s="79">
        <f t="shared" si="44"/>
        <v>-5</v>
      </c>
      <c r="U319" s="1" t="b">
        <f t="shared" si="42"/>
        <v>0</v>
      </c>
    </row>
    <row r="320" spans="1:22" x14ac:dyDescent="0.45">
      <c r="A320" s="42"/>
      <c r="B320" s="77" t="s">
        <v>208</v>
      </c>
      <c r="C320" s="77" t="s">
        <v>417</v>
      </c>
      <c r="D320" s="78">
        <v>1998</v>
      </c>
      <c r="E320" s="78">
        <v>1998</v>
      </c>
      <c r="F320" s="78">
        <v>2586</v>
      </c>
      <c r="G320" s="78">
        <v>140</v>
      </c>
      <c r="H320" s="78">
        <v>132</v>
      </c>
      <c r="I320" s="79">
        <f t="shared" si="36"/>
        <v>137.33333333333331</v>
      </c>
      <c r="J320" s="79">
        <f t="shared" si="37"/>
        <v>18.830097087378643</v>
      </c>
      <c r="K320" s="79">
        <f t="shared" si="38"/>
        <v>31.972087378640765</v>
      </c>
      <c r="L320" s="79">
        <v>50</v>
      </c>
      <c r="M320" s="79">
        <f t="shared" si="39"/>
        <v>-5</v>
      </c>
      <c r="N320" s="79">
        <f t="shared" si="43"/>
        <v>26.972087378640765</v>
      </c>
      <c r="O320" s="78" t="str">
        <f t="shared" si="40"/>
        <v>T30</v>
      </c>
      <c r="P320" s="1" t="b">
        <f t="shared" si="41"/>
        <v>0</v>
      </c>
      <c r="R320" s="43" t="b">
        <v>0</v>
      </c>
      <c r="T320" s="79">
        <f t="shared" si="44"/>
        <v>-5</v>
      </c>
      <c r="U320" s="1" t="b">
        <f t="shared" si="42"/>
        <v>0</v>
      </c>
    </row>
    <row r="321" spans="1:22" x14ac:dyDescent="0.45">
      <c r="A321" s="42"/>
      <c r="B321" s="77" t="s">
        <v>208</v>
      </c>
      <c r="C321" s="77" t="s">
        <v>288</v>
      </c>
      <c r="D321" s="78">
        <v>1989</v>
      </c>
      <c r="E321" s="78">
        <v>1994</v>
      </c>
      <c r="F321" s="78">
        <v>2698</v>
      </c>
      <c r="G321" s="78">
        <v>155</v>
      </c>
      <c r="H321" s="78">
        <v>160</v>
      </c>
      <c r="I321" s="79">
        <f t="shared" si="36"/>
        <v>156.66666666666666</v>
      </c>
      <c r="J321" s="79">
        <f t="shared" si="37"/>
        <v>17.221276595744683</v>
      </c>
      <c r="K321" s="79">
        <f t="shared" si="38"/>
        <v>38.809574468085088</v>
      </c>
      <c r="L321" s="79">
        <v>55</v>
      </c>
      <c r="M321" s="79">
        <f t="shared" si="39"/>
        <v>-2.5</v>
      </c>
      <c r="N321" s="79">
        <f t="shared" si="43"/>
        <v>36.309574468085088</v>
      </c>
      <c r="O321" s="78" t="str">
        <f t="shared" si="40"/>
        <v>T30</v>
      </c>
      <c r="P321" s="1" t="b">
        <f t="shared" si="41"/>
        <v>0</v>
      </c>
      <c r="R321" s="43" t="b">
        <v>0</v>
      </c>
      <c r="T321" s="79">
        <f t="shared" si="44"/>
        <v>-2.5</v>
      </c>
      <c r="U321" s="1" t="b">
        <f t="shared" si="42"/>
        <v>0</v>
      </c>
    </row>
    <row r="322" spans="1:22" x14ac:dyDescent="0.45">
      <c r="A322" s="42"/>
      <c r="B322" s="77" t="s">
        <v>208</v>
      </c>
      <c r="C322" s="77" t="s">
        <v>288</v>
      </c>
      <c r="D322" s="78">
        <v>1995</v>
      </c>
      <c r="E322" s="78">
        <v>1999</v>
      </c>
      <c r="F322" s="78">
        <v>2762</v>
      </c>
      <c r="G322" s="78">
        <v>155</v>
      </c>
      <c r="H322" s="78">
        <v>160</v>
      </c>
      <c r="I322" s="79">
        <f t="shared" si="36"/>
        <v>156.66666666666666</v>
      </c>
      <c r="J322" s="79">
        <f t="shared" si="37"/>
        <v>17.629787234042553</v>
      </c>
      <c r="K322" s="79">
        <f t="shared" si="38"/>
        <v>37.073404255319147</v>
      </c>
      <c r="L322" s="79">
        <v>60</v>
      </c>
      <c r="M322" s="79">
        <f t="shared" si="39"/>
        <v>0</v>
      </c>
      <c r="N322" s="79">
        <f t="shared" si="43"/>
        <v>37.073404255319147</v>
      </c>
      <c r="O322" s="78" t="str">
        <f t="shared" si="40"/>
        <v>T30</v>
      </c>
      <c r="P322" s="1" t="b">
        <f t="shared" si="41"/>
        <v>0</v>
      </c>
      <c r="R322" s="43" t="b">
        <v>0</v>
      </c>
      <c r="T322" s="79">
        <f t="shared" si="44"/>
        <v>0</v>
      </c>
      <c r="U322" s="1" t="b">
        <f t="shared" si="42"/>
        <v>0</v>
      </c>
    </row>
    <row r="323" spans="1:22" x14ac:dyDescent="0.45">
      <c r="A323" s="42"/>
      <c r="B323" s="77" t="s">
        <v>208</v>
      </c>
      <c r="C323" s="77" t="s">
        <v>209</v>
      </c>
      <c r="D323" s="78">
        <v>2003</v>
      </c>
      <c r="E323" s="78">
        <v>2005</v>
      </c>
      <c r="F323" s="78">
        <v>3247</v>
      </c>
      <c r="G323" s="78">
        <v>287</v>
      </c>
      <c r="H323" s="78">
        <v>274</v>
      </c>
      <c r="I323" s="79">
        <f t="shared" si="36"/>
        <v>282.66666666666663</v>
      </c>
      <c r="J323" s="79">
        <f t="shared" si="37"/>
        <v>11.487028301886793</v>
      </c>
      <c r="K323" s="79">
        <f t="shared" si="38"/>
        <v>63.180129716981128</v>
      </c>
      <c r="L323" s="79">
        <v>75</v>
      </c>
      <c r="M323" s="79">
        <f t="shared" si="39"/>
        <v>7.5</v>
      </c>
      <c r="N323" s="79">
        <f t="shared" si="43"/>
        <v>70.680129716981128</v>
      </c>
      <c r="O323" s="78" t="str">
        <f t="shared" si="40"/>
        <v>T70</v>
      </c>
      <c r="P323" s="1" t="b">
        <f t="shared" si="41"/>
        <v>0</v>
      </c>
      <c r="R323" s="43" t="b">
        <v>0</v>
      </c>
      <c r="T323" s="79">
        <f t="shared" si="44"/>
        <v>7.5</v>
      </c>
      <c r="U323" s="1" t="b">
        <f t="shared" si="42"/>
        <v>0</v>
      </c>
    </row>
    <row r="324" spans="1:22" x14ac:dyDescent="0.45">
      <c r="A324" s="42"/>
      <c r="B324" s="77" t="s">
        <v>208</v>
      </c>
      <c r="C324" s="77" t="s">
        <v>209</v>
      </c>
      <c r="D324" s="78">
        <v>2006</v>
      </c>
      <c r="E324" s="78">
        <v>2006</v>
      </c>
      <c r="F324" s="78">
        <v>3339</v>
      </c>
      <c r="G324" s="78">
        <v>300</v>
      </c>
      <c r="H324" s="78">
        <v>260</v>
      </c>
      <c r="I324" s="79">
        <f t="shared" si="36"/>
        <v>286.66666666666663</v>
      </c>
      <c r="J324" s="79">
        <f t="shared" si="37"/>
        <v>11.647674418604653</v>
      </c>
      <c r="K324" s="79">
        <f t="shared" si="38"/>
        <v>62.497383720930223</v>
      </c>
      <c r="L324" s="79">
        <v>75</v>
      </c>
      <c r="M324" s="79">
        <f t="shared" si="39"/>
        <v>7.5</v>
      </c>
      <c r="N324" s="79">
        <f t="shared" si="43"/>
        <v>69.99738372093023</v>
      </c>
      <c r="O324" s="78" t="str">
        <f t="shared" si="40"/>
        <v>T70</v>
      </c>
      <c r="P324" s="1" t="b">
        <f t="shared" si="41"/>
        <v>0</v>
      </c>
      <c r="R324" s="43" t="b">
        <v>0</v>
      </c>
      <c r="T324" s="79">
        <f t="shared" si="44"/>
        <v>7.5</v>
      </c>
      <c r="U324" s="1" t="b">
        <f t="shared" si="42"/>
        <v>0</v>
      </c>
    </row>
    <row r="325" spans="1:22" x14ac:dyDescent="0.45">
      <c r="A325" s="42"/>
      <c r="B325" s="77" t="s">
        <v>208</v>
      </c>
      <c r="C325" s="77" t="s">
        <v>498</v>
      </c>
      <c r="D325" s="78">
        <v>2007</v>
      </c>
      <c r="E325" s="78">
        <v>2008</v>
      </c>
      <c r="F325" s="78">
        <v>3353</v>
      </c>
      <c r="G325" s="78">
        <v>306</v>
      </c>
      <c r="H325" s="78">
        <v>268</v>
      </c>
      <c r="I325" s="79">
        <f t="shared" si="36"/>
        <v>293.33333333333331</v>
      </c>
      <c r="J325" s="79">
        <f t="shared" si="37"/>
        <v>11.430681818181819</v>
      </c>
      <c r="K325" s="79">
        <f t="shared" si="38"/>
        <v>63.419602272727268</v>
      </c>
      <c r="L325" s="79">
        <v>75</v>
      </c>
      <c r="M325" s="79">
        <f t="shared" si="39"/>
        <v>7.5</v>
      </c>
      <c r="N325" s="79">
        <f t="shared" si="43"/>
        <v>70.919602272727275</v>
      </c>
      <c r="O325" s="78" t="str">
        <f t="shared" si="40"/>
        <v>T70</v>
      </c>
      <c r="P325" s="1" t="b">
        <f t="shared" si="41"/>
        <v>0</v>
      </c>
      <c r="R325" s="43" t="b">
        <v>0</v>
      </c>
      <c r="T325" s="79">
        <f t="shared" si="44"/>
        <v>7.5</v>
      </c>
      <c r="U325" s="1" t="b">
        <f t="shared" si="42"/>
        <v>0</v>
      </c>
    </row>
    <row r="326" spans="1:22" x14ac:dyDescent="0.45">
      <c r="A326" s="42"/>
      <c r="B326" s="77" t="s">
        <v>208</v>
      </c>
      <c r="C326" s="77" t="s">
        <v>210</v>
      </c>
      <c r="D326" s="78">
        <v>2009</v>
      </c>
      <c r="E326" s="78">
        <v>2011</v>
      </c>
      <c r="F326" s="78">
        <v>3272</v>
      </c>
      <c r="G326" s="78">
        <v>332</v>
      </c>
      <c r="H326" s="78">
        <v>270</v>
      </c>
      <c r="I326" s="79">
        <f t="shared" si="36"/>
        <v>311.33333333333331</v>
      </c>
      <c r="J326" s="79">
        <f t="shared" si="37"/>
        <v>10.50963597430407</v>
      </c>
      <c r="K326" s="79">
        <f t="shared" si="38"/>
        <v>67.334047109207702</v>
      </c>
      <c r="L326" s="79">
        <v>75</v>
      </c>
      <c r="M326" s="79">
        <f t="shared" si="39"/>
        <v>7.5</v>
      </c>
      <c r="N326" s="79">
        <f t="shared" si="43"/>
        <v>74.834047109207702</v>
      </c>
      <c r="O326" s="78" t="str">
        <f t="shared" si="40"/>
        <v>T70</v>
      </c>
      <c r="P326" s="1" t="b">
        <f t="shared" si="41"/>
        <v>0</v>
      </c>
      <c r="R326" s="43" t="b">
        <v>0</v>
      </c>
      <c r="T326" s="79">
        <f t="shared" si="44"/>
        <v>7.5</v>
      </c>
      <c r="U326" s="1" t="b">
        <f t="shared" si="42"/>
        <v>0</v>
      </c>
    </row>
    <row r="327" spans="1:22" x14ac:dyDescent="0.45">
      <c r="A327" s="42"/>
      <c r="B327" s="77" t="s">
        <v>208</v>
      </c>
      <c r="C327" s="77" t="s">
        <v>497</v>
      </c>
      <c r="D327" s="78">
        <v>2009</v>
      </c>
      <c r="E327" s="78">
        <v>2014</v>
      </c>
      <c r="F327" s="78">
        <v>3340</v>
      </c>
      <c r="G327" s="78">
        <v>350</v>
      </c>
      <c r="H327" s="78">
        <v>276</v>
      </c>
      <c r="I327" s="79">
        <f t="shared" si="36"/>
        <v>325.33333333333331</v>
      </c>
      <c r="J327" s="79">
        <f t="shared" si="37"/>
        <v>10.266393442622951</v>
      </c>
      <c r="K327" s="79">
        <f t="shared" si="38"/>
        <v>68.367827868852459</v>
      </c>
      <c r="L327" s="79">
        <v>75</v>
      </c>
      <c r="M327" s="79">
        <f t="shared" si="39"/>
        <v>7.5</v>
      </c>
      <c r="N327" s="79">
        <f t="shared" si="43"/>
        <v>75.867827868852459</v>
      </c>
      <c r="O327" s="78" t="str">
        <f t="shared" si="40"/>
        <v>T70</v>
      </c>
      <c r="P327" s="1" t="b">
        <f t="shared" si="41"/>
        <v>0</v>
      </c>
      <c r="R327" s="43" t="b">
        <v>0</v>
      </c>
      <c r="T327" s="79">
        <f t="shared" si="44"/>
        <v>7.5</v>
      </c>
      <c r="U327" s="1" t="b">
        <f t="shared" si="42"/>
        <v>0</v>
      </c>
    </row>
    <row r="328" spans="1:22" x14ac:dyDescent="0.45">
      <c r="A328" s="42"/>
      <c r="B328" s="77" t="s">
        <v>208</v>
      </c>
      <c r="C328" s="77" t="s">
        <v>745</v>
      </c>
      <c r="D328" s="78">
        <v>2023</v>
      </c>
      <c r="E328" s="78"/>
      <c r="F328" s="78">
        <v>3400</v>
      </c>
      <c r="G328" s="78">
        <v>400</v>
      </c>
      <c r="H328" s="78">
        <v>350</v>
      </c>
      <c r="I328" s="79">
        <f t="shared" si="36"/>
        <v>383.33333333333326</v>
      </c>
      <c r="J328" s="79">
        <f t="shared" si="37"/>
        <v>8.8695652173913064</v>
      </c>
      <c r="K328" s="79">
        <f t="shared" si="38"/>
        <v>74.304347826086939</v>
      </c>
      <c r="L328" s="79">
        <v>80</v>
      </c>
      <c r="M328" s="79">
        <f t="shared" si="39"/>
        <v>10</v>
      </c>
      <c r="N328" s="79">
        <f t="shared" si="43"/>
        <v>84.304347826086939</v>
      </c>
      <c r="O328" s="78" t="str">
        <f t="shared" si="40"/>
        <v>T80</v>
      </c>
      <c r="P328" s="1" t="b">
        <f t="shared" si="41"/>
        <v>0</v>
      </c>
      <c r="R328" s="43" t="b">
        <v>0</v>
      </c>
      <c r="T328" s="79">
        <f t="shared" si="44"/>
        <v>10</v>
      </c>
      <c r="U328" s="1" t="b">
        <f t="shared" si="42"/>
        <v>0</v>
      </c>
      <c r="V328" s="46"/>
    </row>
    <row r="329" spans="1:22" x14ac:dyDescent="0.45">
      <c r="A329" s="42"/>
      <c r="B329" s="77" t="s">
        <v>208</v>
      </c>
      <c r="C329" s="77" t="s">
        <v>211</v>
      </c>
      <c r="D329" s="78">
        <v>2007</v>
      </c>
      <c r="E329" s="78">
        <v>2010</v>
      </c>
      <c r="F329" s="78">
        <v>3800</v>
      </c>
      <c r="G329" s="78">
        <v>480</v>
      </c>
      <c r="H329" s="78">
        <v>433</v>
      </c>
      <c r="I329" s="79">
        <f t="shared" si="36"/>
        <v>464.33333333333331</v>
      </c>
      <c r="J329" s="79">
        <f t="shared" si="37"/>
        <v>8.1837760229720029</v>
      </c>
      <c r="K329" s="79">
        <f t="shared" si="38"/>
        <v>77.218951902368985</v>
      </c>
      <c r="L329" s="79">
        <v>111</v>
      </c>
      <c r="M329" s="79">
        <f t="shared" si="39"/>
        <v>25.5</v>
      </c>
      <c r="N329" s="79">
        <f t="shared" si="43"/>
        <v>102.71895190236899</v>
      </c>
      <c r="O329" s="78" t="str">
        <f t="shared" si="40"/>
        <v>T100</v>
      </c>
      <c r="P329" s="1" t="b">
        <f t="shared" si="41"/>
        <v>0</v>
      </c>
      <c r="R329" s="43" t="b">
        <v>0</v>
      </c>
      <c r="T329" s="79">
        <f t="shared" si="44"/>
        <v>25.5</v>
      </c>
      <c r="U329" s="1" t="b">
        <f t="shared" si="42"/>
        <v>0</v>
      </c>
    </row>
    <row r="330" spans="1:22" x14ac:dyDescent="0.45">
      <c r="A330" s="42"/>
      <c r="B330" s="77" t="s">
        <v>208</v>
      </c>
      <c r="C330" s="77" t="s">
        <v>211</v>
      </c>
      <c r="D330" s="78">
        <v>2007</v>
      </c>
      <c r="E330" s="78">
        <v>2010</v>
      </c>
      <c r="F330" s="78">
        <v>3800</v>
      </c>
      <c r="G330" s="78">
        <v>478</v>
      </c>
      <c r="H330" s="78">
        <v>434</v>
      </c>
      <c r="I330" s="79">
        <f t="shared" si="36"/>
        <v>463.33333333333326</v>
      </c>
      <c r="J330" s="79">
        <f t="shared" si="37"/>
        <v>8.2014388489208638</v>
      </c>
      <c r="K330" s="79">
        <f t="shared" si="38"/>
        <v>77.143884892086334</v>
      </c>
      <c r="L330" s="79">
        <v>105</v>
      </c>
      <c r="M330" s="79">
        <f t="shared" si="39"/>
        <v>22.5</v>
      </c>
      <c r="N330" s="79">
        <f t="shared" si="43"/>
        <v>99.643884892086334</v>
      </c>
      <c r="O330" s="78" t="str">
        <f t="shared" si="40"/>
        <v>T90</v>
      </c>
      <c r="P330" s="1" t="b">
        <f t="shared" si="41"/>
        <v>0</v>
      </c>
      <c r="R330" s="43" t="b">
        <v>0</v>
      </c>
      <c r="T330" s="79">
        <f t="shared" si="44"/>
        <v>22.5</v>
      </c>
      <c r="U330" s="1" t="b">
        <f t="shared" si="42"/>
        <v>0</v>
      </c>
    </row>
    <row r="331" spans="1:22" x14ac:dyDescent="0.45">
      <c r="A331" s="42"/>
      <c r="B331" s="77" t="s">
        <v>208</v>
      </c>
      <c r="C331" s="77" t="s">
        <v>211</v>
      </c>
      <c r="D331" s="78">
        <v>2011</v>
      </c>
      <c r="E331" s="78">
        <v>2012</v>
      </c>
      <c r="F331" s="78">
        <v>3829</v>
      </c>
      <c r="G331" s="78">
        <v>530</v>
      </c>
      <c r="H331" s="78">
        <v>448</v>
      </c>
      <c r="I331" s="79">
        <f t="shared" si="36"/>
        <v>502.66666666666663</v>
      </c>
      <c r="J331" s="79">
        <f t="shared" si="37"/>
        <v>7.6173740053050407</v>
      </c>
      <c r="K331" s="79">
        <f t="shared" si="38"/>
        <v>79.626160477453567</v>
      </c>
      <c r="L331" s="79">
        <v>111</v>
      </c>
      <c r="M331" s="79">
        <f t="shared" si="39"/>
        <v>25.5</v>
      </c>
      <c r="N331" s="79">
        <f t="shared" si="43"/>
        <v>105.12616047745357</v>
      </c>
      <c r="O331" s="78" t="str">
        <f t="shared" si="40"/>
        <v>T100</v>
      </c>
      <c r="P331" s="1" t="b">
        <f t="shared" si="41"/>
        <v>0</v>
      </c>
      <c r="R331" s="43" t="b">
        <v>0</v>
      </c>
      <c r="T331" s="79">
        <f t="shared" si="44"/>
        <v>25.5</v>
      </c>
      <c r="U331" s="1" t="b">
        <f t="shared" si="42"/>
        <v>0</v>
      </c>
    </row>
    <row r="332" spans="1:22" x14ac:dyDescent="0.45">
      <c r="A332" s="42"/>
      <c r="B332" s="77" t="s">
        <v>208</v>
      </c>
      <c r="C332" s="77" t="s">
        <v>211</v>
      </c>
      <c r="D332" s="78">
        <v>2013</v>
      </c>
      <c r="E332" s="78">
        <v>2019</v>
      </c>
      <c r="F332" s="78">
        <v>3829</v>
      </c>
      <c r="G332" s="78">
        <v>545</v>
      </c>
      <c r="H332" s="78">
        <v>463</v>
      </c>
      <c r="I332" s="79">
        <f t="shared" ref="I332:I395" si="45">G332*(2/3)+H332*(1/3)</f>
        <v>517.66666666666663</v>
      </c>
      <c r="J332" s="79">
        <f t="shared" ref="J332:J395" si="46">F332/I332</f>
        <v>7.3966516419832589</v>
      </c>
      <c r="K332" s="79">
        <f t="shared" ref="K332:K395" si="47">J332*-4.25+112</f>
        <v>80.564230521571147</v>
      </c>
      <c r="L332" s="79">
        <v>111</v>
      </c>
      <c r="M332" s="79">
        <f t="shared" ref="M332:M395" si="48">(L332-60)/3*1.5</f>
        <v>25.5</v>
      </c>
      <c r="N332" s="79">
        <f t="shared" si="43"/>
        <v>106.06423052157115</v>
      </c>
      <c r="O332" s="78" t="str">
        <f t="shared" ref="O332:O395" si="49">INDEX(Base_Classes, MATCH($N332, Base_Assessments, 1)+1)</f>
        <v>T100</v>
      </c>
      <c r="P332" s="1" t="b">
        <f t="shared" ref="P332:P395" si="50">OR(R332,A332)</f>
        <v>0</v>
      </c>
      <c r="R332" s="43" t="b">
        <v>0</v>
      </c>
      <c r="T332" s="79">
        <f t="shared" si="44"/>
        <v>25.5</v>
      </c>
      <c r="U332" s="1" t="b">
        <f t="shared" ref="U332:U395" si="51">AND(P332,$S$9)</f>
        <v>0</v>
      </c>
    </row>
    <row r="333" spans="1:22" x14ac:dyDescent="0.45">
      <c r="A333" s="42"/>
      <c r="B333" s="77" t="s">
        <v>208</v>
      </c>
      <c r="C333" s="77" t="s">
        <v>530</v>
      </c>
      <c r="D333" s="78">
        <v>2015</v>
      </c>
      <c r="E333" s="78">
        <v>2019</v>
      </c>
      <c r="F333" s="78">
        <v>3851</v>
      </c>
      <c r="G333" s="78">
        <v>595</v>
      </c>
      <c r="H333" s="78">
        <v>481</v>
      </c>
      <c r="I333" s="79">
        <f t="shared" si="45"/>
        <v>557</v>
      </c>
      <c r="J333" s="79">
        <f t="shared" si="46"/>
        <v>6.9138240574506282</v>
      </c>
      <c r="K333" s="79">
        <f t="shared" si="47"/>
        <v>82.616247755834834</v>
      </c>
      <c r="L333" s="79">
        <v>117</v>
      </c>
      <c r="M333" s="79">
        <f t="shared" si="48"/>
        <v>28.5</v>
      </c>
      <c r="N333" s="79">
        <f t="shared" ref="N333:N396" si="52">M333+K333</f>
        <v>111.11624775583483</v>
      </c>
      <c r="O333" s="78" t="str">
        <f t="shared" si="49"/>
        <v>T110</v>
      </c>
      <c r="P333" s="1" t="b">
        <f t="shared" si="50"/>
        <v>0</v>
      </c>
      <c r="R333" s="43" t="b">
        <v>0</v>
      </c>
      <c r="T333" s="79">
        <f t="shared" ref="T333:T396" si="53">(L333-60)/3*1.5</f>
        <v>28.5</v>
      </c>
      <c r="U333" s="1" t="b">
        <f t="shared" si="51"/>
        <v>0</v>
      </c>
    </row>
    <row r="334" spans="1:22" x14ac:dyDescent="0.45">
      <c r="A334" s="42"/>
      <c r="B334" s="77" t="s">
        <v>208</v>
      </c>
      <c r="C334" s="77" t="s">
        <v>531</v>
      </c>
      <c r="D334" s="78">
        <v>2011</v>
      </c>
      <c r="E334" s="78"/>
      <c r="F334" s="78">
        <v>2912</v>
      </c>
      <c r="G334" s="78">
        <v>188</v>
      </c>
      <c r="H334" s="78">
        <v>177</v>
      </c>
      <c r="I334" s="79">
        <f t="shared" si="45"/>
        <v>184.33333333333331</v>
      </c>
      <c r="J334" s="79">
        <f t="shared" si="46"/>
        <v>15.797468354430382</v>
      </c>
      <c r="K334" s="79">
        <f t="shared" si="47"/>
        <v>44.860759493670869</v>
      </c>
      <c r="L334" s="79">
        <v>50</v>
      </c>
      <c r="M334" s="79">
        <f t="shared" si="48"/>
        <v>-5</v>
      </c>
      <c r="N334" s="79">
        <f t="shared" si="52"/>
        <v>39.860759493670869</v>
      </c>
      <c r="O334" s="78" t="str">
        <f t="shared" si="49"/>
        <v>T30</v>
      </c>
      <c r="P334" s="1" t="b">
        <f t="shared" si="50"/>
        <v>0</v>
      </c>
      <c r="R334" s="43" t="b">
        <v>0</v>
      </c>
      <c r="T334" s="79">
        <f t="shared" si="53"/>
        <v>-5</v>
      </c>
      <c r="U334" s="1" t="b">
        <f t="shared" si="51"/>
        <v>0</v>
      </c>
    </row>
    <row r="335" spans="1:22" x14ac:dyDescent="0.45">
      <c r="A335" s="42"/>
      <c r="B335" s="77" t="s">
        <v>208</v>
      </c>
      <c r="C335" s="77" t="s">
        <v>289</v>
      </c>
      <c r="D335" s="78">
        <v>2000</v>
      </c>
      <c r="E335" s="78">
        <v>2006</v>
      </c>
      <c r="F335" s="78">
        <v>2544</v>
      </c>
      <c r="G335" s="78">
        <v>145</v>
      </c>
      <c r="H335" s="78">
        <v>136</v>
      </c>
      <c r="I335" s="79">
        <f t="shared" si="45"/>
        <v>142</v>
      </c>
      <c r="J335" s="79">
        <f t="shared" si="46"/>
        <v>17.91549295774648</v>
      </c>
      <c r="K335" s="79">
        <f t="shared" si="47"/>
        <v>35.859154929577457</v>
      </c>
      <c r="L335" s="79">
        <v>45</v>
      </c>
      <c r="M335" s="79">
        <f t="shared" si="48"/>
        <v>-7.5</v>
      </c>
      <c r="N335" s="79">
        <f t="shared" si="52"/>
        <v>28.359154929577457</v>
      </c>
      <c r="O335" s="78" t="str">
        <f t="shared" si="49"/>
        <v>T30</v>
      </c>
      <c r="P335" s="1" t="b">
        <f t="shared" si="50"/>
        <v>0</v>
      </c>
      <c r="R335" s="43" t="b">
        <v>0</v>
      </c>
      <c r="T335" s="79">
        <f t="shared" si="53"/>
        <v>-7.5</v>
      </c>
      <c r="U335" s="1" t="b">
        <f t="shared" si="51"/>
        <v>0</v>
      </c>
    </row>
    <row r="336" spans="1:22" x14ac:dyDescent="0.45">
      <c r="A336" s="42"/>
      <c r="B336" s="77" t="s">
        <v>208</v>
      </c>
      <c r="C336" s="77" t="s">
        <v>212</v>
      </c>
      <c r="D336" s="78">
        <v>1991</v>
      </c>
      <c r="E336" s="78">
        <v>1994</v>
      </c>
      <c r="F336" s="78">
        <v>2469</v>
      </c>
      <c r="G336" s="78">
        <v>138</v>
      </c>
      <c r="H336" s="78">
        <v>132</v>
      </c>
      <c r="I336" s="79">
        <f t="shared" si="45"/>
        <v>136</v>
      </c>
      <c r="J336" s="79">
        <f t="shared" si="46"/>
        <v>18.154411764705884</v>
      </c>
      <c r="K336" s="79">
        <f t="shared" si="47"/>
        <v>34.84375</v>
      </c>
      <c r="L336" s="79">
        <v>50</v>
      </c>
      <c r="M336" s="79">
        <f t="shared" si="48"/>
        <v>-5</v>
      </c>
      <c r="N336" s="79">
        <f t="shared" si="52"/>
        <v>29.84375</v>
      </c>
      <c r="O336" s="78" t="str">
        <f t="shared" si="49"/>
        <v>T30</v>
      </c>
      <c r="P336" s="1" t="b">
        <f t="shared" si="50"/>
        <v>0</v>
      </c>
      <c r="R336" s="43" t="b">
        <v>0</v>
      </c>
      <c r="T336" s="79">
        <f t="shared" si="53"/>
        <v>-5</v>
      </c>
      <c r="U336" s="1" t="b">
        <f t="shared" si="51"/>
        <v>0</v>
      </c>
    </row>
    <row r="337" spans="1:22" x14ac:dyDescent="0.45">
      <c r="A337" s="42"/>
      <c r="B337" s="77" t="s">
        <v>208</v>
      </c>
      <c r="C337" s="77" t="s">
        <v>212</v>
      </c>
      <c r="D337" s="78">
        <v>2000</v>
      </c>
      <c r="E337" s="78">
        <v>2006</v>
      </c>
      <c r="F337" s="78">
        <v>2746</v>
      </c>
      <c r="G337" s="78">
        <v>165</v>
      </c>
      <c r="H337" s="78">
        <v>175</v>
      </c>
      <c r="I337" s="79">
        <f t="shared" si="45"/>
        <v>168.33333333333331</v>
      </c>
      <c r="J337" s="79">
        <f t="shared" si="46"/>
        <v>16.312871287128715</v>
      </c>
      <c r="K337" s="79">
        <f t="shared" si="47"/>
        <v>42.670297029702965</v>
      </c>
      <c r="L337" s="79">
        <v>60</v>
      </c>
      <c r="M337" s="79">
        <f t="shared" si="48"/>
        <v>0</v>
      </c>
      <c r="N337" s="79">
        <f t="shared" si="52"/>
        <v>42.670297029702965</v>
      </c>
      <c r="O337" s="78" t="str">
        <f t="shared" si="49"/>
        <v>T40</v>
      </c>
      <c r="P337" s="1" t="b">
        <f t="shared" si="50"/>
        <v>0</v>
      </c>
      <c r="R337" s="43" t="b">
        <v>0</v>
      </c>
      <c r="T337" s="79">
        <f t="shared" si="53"/>
        <v>0</v>
      </c>
      <c r="U337" s="1" t="b">
        <f t="shared" si="51"/>
        <v>0</v>
      </c>
    </row>
    <row r="338" spans="1:22" x14ac:dyDescent="0.45">
      <c r="A338" s="42"/>
      <c r="B338" s="77" t="s">
        <v>208</v>
      </c>
      <c r="C338" s="77" t="s">
        <v>213</v>
      </c>
      <c r="D338" s="78">
        <v>1991</v>
      </c>
      <c r="E338" s="78">
        <v>1994</v>
      </c>
      <c r="F338" s="78">
        <v>2386</v>
      </c>
      <c r="G338" s="78">
        <v>115</v>
      </c>
      <c r="H338" s="78">
        <v>108</v>
      </c>
      <c r="I338" s="79">
        <f t="shared" si="45"/>
        <v>112.66666666666666</v>
      </c>
      <c r="J338" s="79">
        <f t="shared" si="46"/>
        <v>21.177514792899409</v>
      </c>
      <c r="K338" s="79">
        <f t="shared" si="47"/>
        <v>21.995562130177518</v>
      </c>
      <c r="L338" s="79">
        <v>45</v>
      </c>
      <c r="M338" s="79">
        <f t="shared" si="48"/>
        <v>-7.5</v>
      </c>
      <c r="N338" s="79">
        <f t="shared" si="52"/>
        <v>14.495562130177518</v>
      </c>
      <c r="O338" s="78" t="str">
        <f t="shared" si="49"/>
        <v>T30</v>
      </c>
      <c r="P338" s="1" t="b">
        <f t="shared" si="50"/>
        <v>0</v>
      </c>
      <c r="R338" s="43" t="b">
        <v>0</v>
      </c>
      <c r="T338" s="79">
        <f t="shared" si="53"/>
        <v>-7.5</v>
      </c>
      <c r="U338" s="1" t="b">
        <f t="shared" si="51"/>
        <v>0</v>
      </c>
    </row>
    <row r="339" spans="1:22" x14ac:dyDescent="0.45">
      <c r="A339" s="42"/>
      <c r="B339" s="77" t="s">
        <v>208</v>
      </c>
      <c r="C339" s="77" t="s">
        <v>290</v>
      </c>
      <c r="D339" s="78">
        <v>1989</v>
      </c>
      <c r="E339" s="78">
        <v>1991</v>
      </c>
      <c r="F339" s="78">
        <v>3152</v>
      </c>
      <c r="G339" s="78">
        <v>276</v>
      </c>
      <c r="H339" s="78">
        <v>266</v>
      </c>
      <c r="I339" s="79">
        <f t="shared" si="45"/>
        <v>272.66666666666663</v>
      </c>
      <c r="J339" s="79">
        <f t="shared" si="46"/>
        <v>11.559902200488999</v>
      </c>
      <c r="K339" s="79">
        <f t="shared" si="47"/>
        <v>62.870415647921753</v>
      </c>
      <c r="L339" s="79">
        <v>70</v>
      </c>
      <c r="M339" s="79">
        <f t="shared" si="48"/>
        <v>5</v>
      </c>
      <c r="N339" s="79">
        <f t="shared" si="52"/>
        <v>67.87041564792176</v>
      </c>
      <c r="O339" s="78" t="str">
        <f t="shared" si="49"/>
        <v>T60</v>
      </c>
      <c r="P339" s="1" t="b">
        <f t="shared" si="50"/>
        <v>0</v>
      </c>
      <c r="R339" s="43" t="b">
        <v>0</v>
      </c>
      <c r="T339" s="79">
        <f t="shared" si="53"/>
        <v>5</v>
      </c>
      <c r="U339" s="1" t="b">
        <f t="shared" si="51"/>
        <v>0</v>
      </c>
    </row>
    <row r="340" spans="1:22" x14ac:dyDescent="0.45">
      <c r="A340" s="42"/>
      <c r="B340" s="77" t="s">
        <v>208</v>
      </c>
      <c r="C340" s="77" t="s">
        <v>291</v>
      </c>
      <c r="D340" s="78">
        <v>1993</v>
      </c>
      <c r="E340" s="78">
        <v>1998</v>
      </c>
      <c r="F340" s="78">
        <v>3373</v>
      </c>
      <c r="G340" s="78">
        <v>276</v>
      </c>
      <c r="H340" s="78">
        <v>266</v>
      </c>
      <c r="I340" s="79">
        <f t="shared" si="45"/>
        <v>272.66666666666663</v>
      </c>
      <c r="J340" s="79">
        <f t="shared" si="46"/>
        <v>12.370415647921762</v>
      </c>
      <c r="K340" s="79">
        <f t="shared" si="47"/>
        <v>59.425733496332512</v>
      </c>
      <c r="L340" s="79">
        <v>75</v>
      </c>
      <c r="M340" s="79">
        <f t="shared" si="48"/>
        <v>7.5</v>
      </c>
      <c r="N340" s="79">
        <f t="shared" si="52"/>
        <v>66.925733496332512</v>
      </c>
      <c r="O340" s="78" t="str">
        <f t="shared" si="49"/>
        <v>T60</v>
      </c>
      <c r="P340" s="1" t="b">
        <f t="shared" si="50"/>
        <v>0</v>
      </c>
      <c r="R340" s="43" t="b">
        <v>0</v>
      </c>
      <c r="T340" s="79">
        <f t="shared" si="53"/>
        <v>7.5</v>
      </c>
      <c r="U340" s="1" t="b">
        <f t="shared" si="51"/>
        <v>0</v>
      </c>
    </row>
    <row r="341" spans="1:22" x14ac:dyDescent="0.45">
      <c r="A341" s="42"/>
      <c r="B341" s="77" t="s">
        <v>208</v>
      </c>
      <c r="C341" s="77" t="s">
        <v>292</v>
      </c>
      <c r="D341" s="78">
        <v>1999</v>
      </c>
      <c r="E341" s="78">
        <v>2002</v>
      </c>
      <c r="F341" s="78">
        <v>3386</v>
      </c>
      <c r="G341" s="78">
        <v>276</v>
      </c>
      <c r="H341" s="78">
        <v>266</v>
      </c>
      <c r="I341" s="79">
        <f t="shared" si="45"/>
        <v>272.66666666666663</v>
      </c>
      <c r="J341" s="79">
        <f t="shared" si="46"/>
        <v>12.418092909535455</v>
      </c>
      <c r="K341" s="79">
        <f t="shared" si="47"/>
        <v>59.223105134474316</v>
      </c>
      <c r="L341" s="79">
        <v>85</v>
      </c>
      <c r="M341" s="79">
        <f t="shared" si="48"/>
        <v>12.5</v>
      </c>
      <c r="N341" s="79">
        <f t="shared" si="52"/>
        <v>71.723105134474309</v>
      </c>
      <c r="O341" s="78" t="str">
        <f t="shared" si="49"/>
        <v>T70</v>
      </c>
      <c r="P341" s="1" t="b">
        <f t="shared" si="50"/>
        <v>0</v>
      </c>
      <c r="R341" s="43" t="b">
        <v>0</v>
      </c>
      <c r="T341" s="79">
        <f t="shared" si="53"/>
        <v>12.5</v>
      </c>
      <c r="U341" s="1" t="b">
        <f t="shared" si="51"/>
        <v>0</v>
      </c>
    </row>
    <row r="342" spans="1:22" x14ac:dyDescent="0.45">
      <c r="A342" s="42"/>
      <c r="B342" s="77" t="s">
        <v>214</v>
      </c>
      <c r="C342" s="77" t="s">
        <v>215</v>
      </c>
      <c r="D342" s="78">
        <v>1988</v>
      </c>
      <c r="E342" s="78">
        <v>1988</v>
      </c>
      <c r="F342" s="78">
        <v>2790</v>
      </c>
      <c r="G342" s="78">
        <v>135</v>
      </c>
      <c r="H342" s="78">
        <v>160</v>
      </c>
      <c r="I342" s="79">
        <f t="shared" si="45"/>
        <v>143.33333333333331</v>
      </c>
      <c r="J342" s="79">
        <f t="shared" si="46"/>
        <v>19.465116279069768</v>
      </c>
      <c r="K342" s="79">
        <f t="shared" si="47"/>
        <v>29.273255813953483</v>
      </c>
      <c r="L342" s="79">
        <v>50</v>
      </c>
      <c r="M342" s="79">
        <f t="shared" si="48"/>
        <v>-5</v>
      </c>
      <c r="N342" s="79">
        <f t="shared" si="52"/>
        <v>24.273255813953483</v>
      </c>
      <c r="O342" s="78" t="str">
        <f t="shared" si="49"/>
        <v>T30</v>
      </c>
      <c r="P342" s="1" t="b">
        <f t="shared" si="50"/>
        <v>0</v>
      </c>
      <c r="R342" s="43" t="b">
        <v>0</v>
      </c>
      <c r="T342" s="79">
        <f t="shared" si="53"/>
        <v>-5</v>
      </c>
      <c r="U342" s="1" t="b">
        <f t="shared" si="51"/>
        <v>0</v>
      </c>
      <c r="V342" s="46"/>
    </row>
    <row r="343" spans="1:22" x14ac:dyDescent="0.45">
      <c r="A343" s="42"/>
      <c r="B343" s="77" t="s">
        <v>214</v>
      </c>
      <c r="C343" s="77" t="s">
        <v>216</v>
      </c>
      <c r="D343" s="78">
        <v>1996</v>
      </c>
      <c r="E343" s="78">
        <v>1996</v>
      </c>
      <c r="F343" s="78">
        <v>3477</v>
      </c>
      <c r="G343" s="78">
        <v>305</v>
      </c>
      <c r="H343" s="78">
        <v>335</v>
      </c>
      <c r="I343" s="79">
        <f t="shared" si="45"/>
        <v>315</v>
      </c>
      <c r="J343" s="79">
        <f t="shared" si="46"/>
        <v>11.038095238095238</v>
      </c>
      <c r="K343" s="79">
        <f t="shared" si="47"/>
        <v>65.088095238095235</v>
      </c>
      <c r="L343" s="79">
        <v>60</v>
      </c>
      <c r="M343" s="79">
        <f t="shared" si="48"/>
        <v>0</v>
      </c>
      <c r="N343" s="79">
        <f t="shared" si="52"/>
        <v>65.088095238095235</v>
      </c>
      <c r="O343" s="78" t="str">
        <f t="shared" si="49"/>
        <v>T60</v>
      </c>
      <c r="P343" s="1" t="b">
        <f t="shared" si="50"/>
        <v>0</v>
      </c>
      <c r="R343" s="43" t="b">
        <v>0</v>
      </c>
      <c r="T343" s="79">
        <f t="shared" si="53"/>
        <v>0</v>
      </c>
      <c r="U343" s="1" t="b">
        <f t="shared" si="51"/>
        <v>0</v>
      </c>
      <c r="V343" s="46"/>
    </row>
    <row r="344" spans="1:22" x14ac:dyDescent="0.45">
      <c r="A344" s="42"/>
      <c r="B344" s="77" t="s">
        <v>214</v>
      </c>
      <c r="C344" s="77" t="s">
        <v>216</v>
      </c>
      <c r="D344" s="78">
        <v>2002</v>
      </c>
      <c r="E344" s="78">
        <v>2002</v>
      </c>
      <c r="F344" s="78">
        <v>3396</v>
      </c>
      <c r="G344" s="78">
        <v>310</v>
      </c>
      <c r="H344" s="78">
        <v>340</v>
      </c>
      <c r="I344" s="79">
        <f t="shared" si="45"/>
        <v>320</v>
      </c>
      <c r="J344" s="79">
        <f t="shared" si="46"/>
        <v>10.612500000000001</v>
      </c>
      <c r="K344" s="79">
        <f t="shared" si="47"/>
        <v>66.896874999999994</v>
      </c>
      <c r="L344" s="79">
        <v>65</v>
      </c>
      <c r="M344" s="79">
        <f t="shared" si="48"/>
        <v>2.5</v>
      </c>
      <c r="N344" s="79">
        <f t="shared" si="52"/>
        <v>69.396874999999994</v>
      </c>
      <c r="O344" s="78" t="str">
        <f t="shared" si="49"/>
        <v>T60</v>
      </c>
      <c r="P344" s="1" t="b">
        <f t="shared" si="50"/>
        <v>0</v>
      </c>
      <c r="R344" s="43" t="b">
        <v>0</v>
      </c>
      <c r="T344" s="79">
        <f t="shared" si="53"/>
        <v>2.5</v>
      </c>
      <c r="U344" s="1" t="b">
        <f t="shared" si="51"/>
        <v>0</v>
      </c>
    </row>
    <row r="345" spans="1:22" x14ac:dyDescent="0.45">
      <c r="A345" s="42"/>
      <c r="B345" s="77" t="s">
        <v>214</v>
      </c>
      <c r="C345" s="77" t="s">
        <v>293</v>
      </c>
      <c r="D345" s="78">
        <v>1989</v>
      </c>
      <c r="E345" s="78">
        <v>1989</v>
      </c>
      <c r="F345" s="78">
        <v>3400</v>
      </c>
      <c r="G345" s="78">
        <v>250</v>
      </c>
      <c r="H345" s="78">
        <v>340</v>
      </c>
      <c r="I345" s="79">
        <f t="shared" si="45"/>
        <v>280</v>
      </c>
      <c r="J345" s="79">
        <f t="shared" si="46"/>
        <v>12.142857142857142</v>
      </c>
      <c r="K345" s="79">
        <f t="shared" si="47"/>
        <v>60.392857142857146</v>
      </c>
      <c r="L345" s="79">
        <v>50</v>
      </c>
      <c r="M345" s="79">
        <f t="shared" si="48"/>
        <v>-5</v>
      </c>
      <c r="N345" s="79">
        <f t="shared" si="52"/>
        <v>55.392857142857146</v>
      </c>
      <c r="O345" s="78" t="str">
        <f t="shared" si="49"/>
        <v>T50</v>
      </c>
      <c r="P345" s="1" t="b">
        <f t="shared" si="50"/>
        <v>0</v>
      </c>
      <c r="R345" s="43" t="b">
        <v>0</v>
      </c>
      <c r="T345" s="79">
        <f t="shared" si="53"/>
        <v>-5</v>
      </c>
      <c r="U345" s="1" t="b">
        <f t="shared" si="51"/>
        <v>0</v>
      </c>
    </row>
    <row r="346" spans="1:22" x14ac:dyDescent="0.45">
      <c r="A346" s="42"/>
      <c r="B346" s="90" t="s">
        <v>214</v>
      </c>
      <c r="C346" s="90" t="s">
        <v>217</v>
      </c>
      <c r="D346" s="86">
        <v>2004</v>
      </c>
      <c r="E346" s="86">
        <v>2004</v>
      </c>
      <c r="F346" s="86">
        <v>3725</v>
      </c>
      <c r="G346" s="86">
        <v>350</v>
      </c>
      <c r="H346" s="86">
        <v>365</v>
      </c>
      <c r="I346" s="85">
        <f t="shared" si="45"/>
        <v>355</v>
      </c>
      <c r="J346" s="85">
        <f t="shared" si="46"/>
        <v>10.492957746478874</v>
      </c>
      <c r="K346" s="79">
        <f t="shared" si="47"/>
        <v>67.404929577464785</v>
      </c>
      <c r="L346" s="87">
        <v>60</v>
      </c>
      <c r="M346" s="79">
        <f t="shared" si="48"/>
        <v>0</v>
      </c>
      <c r="N346" s="79">
        <f t="shared" si="52"/>
        <v>67.404929577464785</v>
      </c>
      <c r="O346" s="78" t="str">
        <f t="shared" si="49"/>
        <v>T60</v>
      </c>
      <c r="P346" s="1" t="b">
        <f t="shared" si="50"/>
        <v>0</v>
      </c>
      <c r="R346" s="43" t="b">
        <v>0</v>
      </c>
      <c r="T346" s="79">
        <f t="shared" si="53"/>
        <v>0</v>
      </c>
      <c r="U346" s="1" t="b">
        <f t="shared" si="51"/>
        <v>0</v>
      </c>
    </row>
    <row r="347" spans="1:22" x14ac:dyDescent="0.45">
      <c r="A347" s="42"/>
      <c r="B347" s="77" t="s">
        <v>214</v>
      </c>
      <c r="C347" s="77" t="s">
        <v>217</v>
      </c>
      <c r="D347" s="78">
        <v>2005</v>
      </c>
      <c r="E347" s="78">
        <v>2006</v>
      </c>
      <c r="F347" s="78">
        <v>3725</v>
      </c>
      <c r="G347" s="78">
        <v>400</v>
      </c>
      <c r="H347" s="78">
        <v>400</v>
      </c>
      <c r="I347" s="79">
        <f t="shared" si="45"/>
        <v>399.99999999999994</v>
      </c>
      <c r="J347" s="79">
        <f t="shared" si="46"/>
        <v>9.3125000000000018</v>
      </c>
      <c r="K347" s="79">
        <f t="shared" si="47"/>
        <v>72.421875</v>
      </c>
      <c r="L347" s="79">
        <v>60</v>
      </c>
      <c r="M347" s="79">
        <f t="shared" si="48"/>
        <v>0</v>
      </c>
      <c r="N347" s="79">
        <f t="shared" si="52"/>
        <v>72.421875</v>
      </c>
      <c r="O347" s="78" t="str">
        <f t="shared" si="49"/>
        <v>T70</v>
      </c>
      <c r="P347" s="1" t="b">
        <f t="shared" si="50"/>
        <v>0</v>
      </c>
      <c r="R347" s="43" t="b">
        <v>0</v>
      </c>
      <c r="T347" s="79">
        <f t="shared" si="53"/>
        <v>0</v>
      </c>
      <c r="U347" s="1" t="b">
        <f t="shared" si="51"/>
        <v>0</v>
      </c>
    </row>
    <row r="348" spans="1:22" x14ac:dyDescent="0.45">
      <c r="A348" s="42"/>
      <c r="B348" s="77" t="s">
        <v>214</v>
      </c>
      <c r="C348" s="77" t="s">
        <v>661</v>
      </c>
      <c r="D348" s="78">
        <v>2006</v>
      </c>
      <c r="E348" s="78">
        <v>2010</v>
      </c>
      <c r="F348" s="78">
        <v>2877</v>
      </c>
      <c r="G348" s="78">
        <v>177</v>
      </c>
      <c r="H348" s="78">
        <v>166</v>
      </c>
      <c r="I348" s="79">
        <f t="shared" si="45"/>
        <v>173.33333333333331</v>
      </c>
      <c r="J348" s="79">
        <f t="shared" si="46"/>
        <v>16.598076923076924</v>
      </c>
      <c r="K348" s="79">
        <f t="shared" si="47"/>
        <v>41.458173076923075</v>
      </c>
      <c r="L348" s="79">
        <v>70</v>
      </c>
      <c r="M348" s="79">
        <f t="shared" si="48"/>
        <v>5</v>
      </c>
      <c r="N348" s="79">
        <f t="shared" si="52"/>
        <v>46.458173076923075</v>
      </c>
      <c r="O348" s="78" t="str">
        <f t="shared" si="49"/>
        <v>T40</v>
      </c>
      <c r="P348" s="1" t="b">
        <f t="shared" si="50"/>
        <v>0</v>
      </c>
      <c r="R348" s="43" t="b">
        <v>0</v>
      </c>
      <c r="T348" s="79">
        <f t="shared" si="53"/>
        <v>5</v>
      </c>
      <c r="U348" s="1" t="b">
        <f t="shared" si="51"/>
        <v>0</v>
      </c>
    </row>
    <row r="349" spans="1:22" x14ac:dyDescent="0.45">
      <c r="A349" s="42"/>
      <c r="B349" s="77" t="s">
        <v>214</v>
      </c>
      <c r="C349" s="77" t="s">
        <v>662</v>
      </c>
      <c r="D349" s="78">
        <v>2007</v>
      </c>
      <c r="E349" s="78">
        <v>2010</v>
      </c>
      <c r="F349" s="78">
        <v>3031</v>
      </c>
      <c r="G349" s="78">
        <v>260</v>
      </c>
      <c r="H349" s="78">
        <v>260</v>
      </c>
      <c r="I349" s="79">
        <f t="shared" si="45"/>
        <v>260</v>
      </c>
      <c r="J349" s="79">
        <f t="shared" si="46"/>
        <v>11.657692307692308</v>
      </c>
      <c r="K349" s="79">
        <f t="shared" si="47"/>
        <v>62.454807692307689</v>
      </c>
      <c r="L349" s="79">
        <v>70</v>
      </c>
      <c r="M349" s="79">
        <f t="shared" si="48"/>
        <v>5</v>
      </c>
      <c r="N349" s="79">
        <f t="shared" si="52"/>
        <v>67.454807692307696</v>
      </c>
      <c r="O349" s="78" t="str">
        <f t="shared" si="49"/>
        <v>T60</v>
      </c>
      <c r="P349" s="1" t="b">
        <f t="shared" si="50"/>
        <v>0</v>
      </c>
      <c r="R349" s="43" t="b">
        <v>0</v>
      </c>
      <c r="T349" s="79">
        <f t="shared" si="53"/>
        <v>5</v>
      </c>
      <c r="U349" s="1" t="b">
        <f t="shared" si="51"/>
        <v>0</v>
      </c>
    </row>
    <row r="350" spans="1:22" x14ac:dyDescent="0.45">
      <c r="A350" s="42"/>
      <c r="B350" s="77" t="s">
        <v>218</v>
      </c>
      <c r="C350" s="77">
        <v>912</v>
      </c>
      <c r="D350" s="78">
        <v>1967</v>
      </c>
      <c r="E350" s="78">
        <v>1967</v>
      </c>
      <c r="F350" s="78">
        <v>2315</v>
      </c>
      <c r="G350" s="78">
        <v>86</v>
      </c>
      <c r="H350" s="78">
        <v>98</v>
      </c>
      <c r="I350" s="79">
        <f t="shared" si="45"/>
        <v>90</v>
      </c>
      <c r="J350" s="79">
        <f t="shared" si="46"/>
        <v>25.722222222222221</v>
      </c>
      <c r="K350" s="79">
        <f t="shared" si="47"/>
        <v>2.6805555555555571</v>
      </c>
      <c r="L350" s="79">
        <v>40</v>
      </c>
      <c r="M350" s="79">
        <f t="shared" si="48"/>
        <v>-10</v>
      </c>
      <c r="N350" s="79">
        <f t="shared" si="52"/>
        <v>-7.3194444444444429</v>
      </c>
      <c r="O350" s="78" t="str">
        <f t="shared" si="49"/>
        <v>T30</v>
      </c>
      <c r="P350" s="1" t="b">
        <f t="shared" si="50"/>
        <v>0</v>
      </c>
      <c r="R350" s="43" t="b">
        <v>0</v>
      </c>
      <c r="T350" s="79">
        <f t="shared" si="53"/>
        <v>-10</v>
      </c>
      <c r="U350" s="1" t="b">
        <f t="shared" si="51"/>
        <v>0</v>
      </c>
      <c r="V350" s="46"/>
    </row>
    <row r="351" spans="1:22" x14ac:dyDescent="0.45">
      <c r="A351" s="42"/>
      <c r="B351" s="77" t="s">
        <v>218</v>
      </c>
      <c r="C351" s="77">
        <v>944</v>
      </c>
      <c r="D351" s="78">
        <v>1982</v>
      </c>
      <c r="E351" s="78">
        <v>1987</v>
      </c>
      <c r="F351" s="78">
        <v>2790</v>
      </c>
      <c r="G351" s="78">
        <v>143</v>
      </c>
      <c r="H351" s="78">
        <v>137</v>
      </c>
      <c r="I351" s="79">
        <f t="shared" si="45"/>
        <v>141</v>
      </c>
      <c r="J351" s="79">
        <f t="shared" si="46"/>
        <v>19.787234042553191</v>
      </c>
      <c r="K351" s="79">
        <f t="shared" si="47"/>
        <v>27.904255319148945</v>
      </c>
      <c r="L351" s="79">
        <v>65</v>
      </c>
      <c r="M351" s="79">
        <f t="shared" si="48"/>
        <v>2.5</v>
      </c>
      <c r="N351" s="79">
        <f t="shared" si="52"/>
        <v>30.404255319148945</v>
      </c>
      <c r="O351" s="78" t="str">
        <f t="shared" si="49"/>
        <v>T30</v>
      </c>
      <c r="P351" s="1" t="b">
        <f t="shared" si="50"/>
        <v>0</v>
      </c>
      <c r="R351" s="43" t="b">
        <v>0</v>
      </c>
      <c r="T351" s="79">
        <f t="shared" si="53"/>
        <v>2.5</v>
      </c>
      <c r="U351" s="1" t="b">
        <f t="shared" si="51"/>
        <v>0</v>
      </c>
      <c r="V351" s="46"/>
    </row>
    <row r="352" spans="1:22" x14ac:dyDescent="0.45">
      <c r="A352" s="42"/>
      <c r="B352" s="77" t="s">
        <v>218</v>
      </c>
      <c r="C352" s="77" t="s">
        <v>296</v>
      </c>
      <c r="D352" s="78">
        <v>1989</v>
      </c>
      <c r="E352" s="78">
        <v>1994</v>
      </c>
      <c r="F352" s="78">
        <v>3031</v>
      </c>
      <c r="G352" s="78">
        <v>247</v>
      </c>
      <c r="H352" s="78">
        <v>228</v>
      </c>
      <c r="I352" s="79">
        <f t="shared" si="45"/>
        <v>240.66666666666666</v>
      </c>
      <c r="J352" s="79">
        <f t="shared" si="46"/>
        <v>12.594182825484765</v>
      </c>
      <c r="K352" s="79">
        <f t="shared" si="47"/>
        <v>58.474722991689745</v>
      </c>
      <c r="L352" s="79">
        <v>70</v>
      </c>
      <c r="M352" s="79">
        <f t="shared" si="48"/>
        <v>5</v>
      </c>
      <c r="N352" s="79">
        <f t="shared" si="52"/>
        <v>63.474722991689745</v>
      </c>
      <c r="O352" s="78" t="str">
        <f t="shared" si="49"/>
        <v>T60</v>
      </c>
      <c r="P352" s="1" t="b">
        <f t="shared" si="50"/>
        <v>0</v>
      </c>
      <c r="R352" s="43" t="b">
        <v>0</v>
      </c>
      <c r="T352" s="79">
        <f t="shared" si="53"/>
        <v>5</v>
      </c>
      <c r="U352" s="1" t="b">
        <f t="shared" si="51"/>
        <v>0</v>
      </c>
    </row>
    <row r="353" spans="1:22" x14ac:dyDescent="0.45">
      <c r="A353" s="42"/>
      <c r="B353" s="77" t="s">
        <v>218</v>
      </c>
      <c r="C353" s="77" t="s">
        <v>298</v>
      </c>
      <c r="D353" s="78">
        <v>1995</v>
      </c>
      <c r="E353" s="78">
        <v>1998</v>
      </c>
      <c r="F353" s="78">
        <v>3020</v>
      </c>
      <c r="G353" s="78">
        <v>272</v>
      </c>
      <c r="H353" s="78">
        <v>243</v>
      </c>
      <c r="I353" s="79">
        <f t="shared" si="45"/>
        <v>262.33333333333331</v>
      </c>
      <c r="J353" s="79">
        <f t="shared" si="46"/>
        <v>11.512071156289709</v>
      </c>
      <c r="K353" s="79">
        <f t="shared" si="47"/>
        <v>63.073697585768734</v>
      </c>
      <c r="L353" s="79">
        <v>75</v>
      </c>
      <c r="M353" s="79">
        <f t="shared" si="48"/>
        <v>7.5</v>
      </c>
      <c r="N353" s="79">
        <f t="shared" si="52"/>
        <v>70.573697585768741</v>
      </c>
      <c r="O353" s="78" t="str">
        <f t="shared" si="49"/>
        <v>T70</v>
      </c>
      <c r="P353" s="1" t="b">
        <f t="shared" si="50"/>
        <v>0</v>
      </c>
      <c r="R353" s="43" t="b">
        <v>0</v>
      </c>
      <c r="T353" s="79">
        <f t="shared" si="53"/>
        <v>7.5</v>
      </c>
      <c r="U353" s="1" t="b">
        <f t="shared" si="51"/>
        <v>0</v>
      </c>
    </row>
    <row r="354" spans="1:22" x14ac:dyDescent="0.45">
      <c r="A354" s="42"/>
      <c r="B354" s="77" t="s">
        <v>218</v>
      </c>
      <c r="C354" s="77" t="s">
        <v>294</v>
      </c>
      <c r="D354" s="78">
        <v>1986</v>
      </c>
      <c r="E354" s="78">
        <v>1989</v>
      </c>
      <c r="F354" s="78">
        <v>2756</v>
      </c>
      <c r="G354" s="78">
        <v>214</v>
      </c>
      <c r="H354" s="78">
        <v>195</v>
      </c>
      <c r="I354" s="79">
        <f t="shared" si="45"/>
        <v>207.66666666666666</v>
      </c>
      <c r="J354" s="79">
        <f t="shared" si="46"/>
        <v>13.271268057784912</v>
      </c>
      <c r="K354" s="79">
        <f t="shared" si="47"/>
        <v>55.597110754414125</v>
      </c>
      <c r="L354" s="79">
        <v>65</v>
      </c>
      <c r="M354" s="79">
        <f t="shared" si="48"/>
        <v>2.5</v>
      </c>
      <c r="N354" s="79">
        <f t="shared" si="52"/>
        <v>58.097110754414125</v>
      </c>
      <c r="O354" s="78" t="str">
        <f t="shared" si="49"/>
        <v>T50</v>
      </c>
      <c r="P354" s="1" t="b">
        <f t="shared" si="50"/>
        <v>0</v>
      </c>
      <c r="R354" s="43" t="b">
        <v>0</v>
      </c>
      <c r="T354" s="79">
        <f t="shared" si="53"/>
        <v>2.5</v>
      </c>
      <c r="U354" s="1" t="b">
        <f t="shared" si="51"/>
        <v>0</v>
      </c>
    </row>
    <row r="355" spans="1:22" x14ac:dyDescent="0.45">
      <c r="A355" s="42"/>
      <c r="B355" s="77" t="s">
        <v>218</v>
      </c>
      <c r="C355" s="77" t="s">
        <v>300</v>
      </c>
      <c r="D355" s="78">
        <v>1999</v>
      </c>
      <c r="E355" s="78">
        <v>1999</v>
      </c>
      <c r="F355" s="78">
        <v>2910</v>
      </c>
      <c r="G355" s="78">
        <v>296</v>
      </c>
      <c r="H355" s="78">
        <v>258</v>
      </c>
      <c r="I355" s="79">
        <f t="shared" si="45"/>
        <v>283.33333333333331</v>
      </c>
      <c r="J355" s="79">
        <f t="shared" si="46"/>
        <v>10.270588235294118</v>
      </c>
      <c r="K355" s="79">
        <f t="shared" si="47"/>
        <v>68.349999999999994</v>
      </c>
      <c r="L355" s="79">
        <v>80</v>
      </c>
      <c r="M355" s="79">
        <f t="shared" si="48"/>
        <v>10</v>
      </c>
      <c r="N355" s="79">
        <f t="shared" si="52"/>
        <v>78.349999999999994</v>
      </c>
      <c r="O355" s="78" t="str">
        <f t="shared" si="49"/>
        <v>T70</v>
      </c>
      <c r="P355" s="1" t="b">
        <f t="shared" si="50"/>
        <v>0</v>
      </c>
      <c r="R355" s="43" t="b">
        <v>0</v>
      </c>
      <c r="T355" s="79">
        <f t="shared" si="53"/>
        <v>10</v>
      </c>
      <c r="U355" s="1" t="b">
        <f t="shared" si="51"/>
        <v>0</v>
      </c>
    </row>
    <row r="356" spans="1:22" x14ac:dyDescent="0.45">
      <c r="A356" s="42"/>
      <c r="B356" s="77" t="s">
        <v>218</v>
      </c>
      <c r="C356" s="77" t="s">
        <v>301</v>
      </c>
      <c r="D356" s="78">
        <v>2002</v>
      </c>
      <c r="E356" s="78">
        <v>2002</v>
      </c>
      <c r="F356" s="78">
        <v>3098</v>
      </c>
      <c r="G356" s="78">
        <v>320</v>
      </c>
      <c r="H356" s="78">
        <v>273</v>
      </c>
      <c r="I356" s="79">
        <f t="shared" si="45"/>
        <v>304.33333333333331</v>
      </c>
      <c r="J356" s="79">
        <f t="shared" si="46"/>
        <v>10.179627601314349</v>
      </c>
      <c r="K356" s="79">
        <f t="shared" si="47"/>
        <v>68.736582694414011</v>
      </c>
      <c r="L356" s="79">
        <v>80</v>
      </c>
      <c r="M356" s="79">
        <f t="shared" si="48"/>
        <v>10</v>
      </c>
      <c r="N356" s="79">
        <f t="shared" si="52"/>
        <v>78.736582694414011</v>
      </c>
      <c r="O356" s="78" t="str">
        <f t="shared" si="49"/>
        <v>T70</v>
      </c>
      <c r="P356" s="1" t="b">
        <f t="shared" si="50"/>
        <v>0</v>
      </c>
      <c r="R356" s="43" t="b">
        <v>0</v>
      </c>
      <c r="T356" s="79">
        <f t="shared" si="53"/>
        <v>10</v>
      </c>
      <c r="U356" s="1" t="b">
        <f t="shared" si="51"/>
        <v>0</v>
      </c>
    </row>
    <row r="357" spans="1:22" x14ac:dyDescent="0.45">
      <c r="A357" s="42"/>
      <c r="B357" s="77" t="s">
        <v>218</v>
      </c>
      <c r="C357" s="77" t="s">
        <v>302</v>
      </c>
      <c r="D357" s="78">
        <v>2005</v>
      </c>
      <c r="E357" s="78">
        <v>2005</v>
      </c>
      <c r="F357" s="78">
        <v>3075</v>
      </c>
      <c r="G357" s="78">
        <v>325</v>
      </c>
      <c r="H357" s="78">
        <v>273</v>
      </c>
      <c r="I357" s="79">
        <f t="shared" si="45"/>
        <v>307.66666666666663</v>
      </c>
      <c r="J357" s="79">
        <f t="shared" si="46"/>
        <v>9.9945828819068261</v>
      </c>
      <c r="K357" s="79">
        <f t="shared" si="47"/>
        <v>69.523022751895979</v>
      </c>
      <c r="L357" s="79">
        <v>80</v>
      </c>
      <c r="M357" s="79">
        <f t="shared" si="48"/>
        <v>10</v>
      </c>
      <c r="N357" s="79">
        <f t="shared" si="52"/>
        <v>79.523022751895979</v>
      </c>
      <c r="O357" s="78" t="str">
        <f t="shared" si="49"/>
        <v>T70</v>
      </c>
      <c r="P357" s="1" t="b">
        <f t="shared" si="50"/>
        <v>0</v>
      </c>
      <c r="R357" s="43" t="b">
        <v>0</v>
      </c>
      <c r="T357" s="79">
        <f t="shared" si="53"/>
        <v>10</v>
      </c>
      <c r="U357" s="1" t="b">
        <f t="shared" si="51"/>
        <v>0</v>
      </c>
    </row>
    <row r="358" spans="1:22" x14ac:dyDescent="0.45">
      <c r="A358" s="42"/>
      <c r="B358" s="77" t="s">
        <v>218</v>
      </c>
      <c r="C358" s="77" t="s">
        <v>723</v>
      </c>
      <c r="D358" s="78">
        <v>2020</v>
      </c>
      <c r="E358" s="78"/>
      <c r="F358" s="78">
        <v>3373</v>
      </c>
      <c r="G358" s="78">
        <v>443</v>
      </c>
      <c r="H358" s="78">
        <v>390</v>
      </c>
      <c r="I358" s="79">
        <f t="shared" si="45"/>
        <v>425.33333333333331</v>
      </c>
      <c r="J358" s="79">
        <f t="shared" si="46"/>
        <v>7.9302507836990603</v>
      </c>
      <c r="K358" s="79">
        <f t="shared" si="47"/>
        <v>78.296434169278996</v>
      </c>
      <c r="L358" s="79">
        <v>115</v>
      </c>
      <c r="M358" s="79">
        <f t="shared" si="48"/>
        <v>27.5</v>
      </c>
      <c r="N358" s="79">
        <f t="shared" si="52"/>
        <v>105.796434169279</v>
      </c>
      <c r="O358" s="78" t="str">
        <f t="shared" si="49"/>
        <v>T100</v>
      </c>
      <c r="P358" s="1" t="b">
        <f t="shared" si="50"/>
        <v>0</v>
      </c>
      <c r="R358" s="43" t="b">
        <v>0</v>
      </c>
      <c r="T358" s="79">
        <f t="shared" si="53"/>
        <v>27.5</v>
      </c>
      <c r="U358" s="1" t="b">
        <f t="shared" si="51"/>
        <v>0</v>
      </c>
      <c r="V358" s="46"/>
    </row>
    <row r="359" spans="1:22" x14ac:dyDescent="0.45">
      <c r="A359" s="42"/>
      <c r="B359" s="77" t="s">
        <v>218</v>
      </c>
      <c r="C359" s="77" t="s">
        <v>526</v>
      </c>
      <c r="D359" s="78">
        <v>2012.5</v>
      </c>
      <c r="E359" s="78"/>
      <c r="F359" s="78">
        <v>3075</v>
      </c>
      <c r="G359" s="78">
        <v>400</v>
      </c>
      <c r="H359" s="78">
        <v>325</v>
      </c>
      <c r="I359" s="79">
        <f t="shared" si="45"/>
        <v>374.99999999999994</v>
      </c>
      <c r="J359" s="79">
        <f t="shared" si="46"/>
        <v>8.2000000000000011</v>
      </c>
      <c r="K359" s="79">
        <f t="shared" si="47"/>
        <v>77.150000000000006</v>
      </c>
      <c r="L359" s="79">
        <v>85</v>
      </c>
      <c r="M359" s="79">
        <f t="shared" si="48"/>
        <v>12.5</v>
      </c>
      <c r="N359" s="79">
        <f t="shared" si="52"/>
        <v>89.65</v>
      </c>
      <c r="O359" s="78" t="str">
        <f t="shared" si="49"/>
        <v>T80</v>
      </c>
      <c r="P359" s="1" t="b">
        <f t="shared" si="50"/>
        <v>0</v>
      </c>
      <c r="R359" s="43" t="b">
        <v>0</v>
      </c>
      <c r="T359" s="79">
        <f t="shared" si="53"/>
        <v>12.5</v>
      </c>
      <c r="U359" s="1" t="b">
        <f t="shared" si="51"/>
        <v>0</v>
      </c>
    </row>
    <row r="360" spans="1:22" x14ac:dyDescent="0.45">
      <c r="A360" s="42"/>
      <c r="B360" s="77" t="s">
        <v>218</v>
      </c>
      <c r="C360" s="77" t="s">
        <v>303</v>
      </c>
      <c r="D360" s="78">
        <v>2009</v>
      </c>
      <c r="E360" s="78">
        <v>2009</v>
      </c>
      <c r="F360" s="78">
        <v>3150</v>
      </c>
      <c r="G360" s="78">
        <v>385</v>
      </c>
      <c r="H360" s="78">
        <v>310</v>
      </c>
      <c r="I360" s="79">
        <f t="shared" si="45"/>
        <v>359.99999999999994</v>
      </c>
      <c r="J360" s="79">
        <f t="shared" si="46"/>
        <v>8.7500000000000018</v>
      </c>
      <c r="K360" s="79">
        <f t="shared" si="47"/>
        <v>74.8125</v>
      </c>
      <c r="L360" s="79">
        <v>80</v>
      </c>
      <c r="M360" s="79">
        <f t="shared" si="48"/>
        <v>10</v>
      </c>
      <c r="N360" s="79">
        <f t="shared" si="52"/>
        <v>84.8125</v>
      </c>
      <c r="O360" s="78" t="str">
        <f t="shared" si="49"/>
        <v>T80</v>
      </c>
      <c r="P360" s="1" t="b">
        <f t="shared" si="50"/>
        <v>0</v>
      </c>
      <c r="R360" s="43" t="b">
        <v>0</v>
      </c>
      <c r="T360" s="79">
        <f t="shared" si="53"/>
        <v>10</v>
      </c>
      <c r="U360" s="1" t="b">
        <f t="shared" si="51"/>
        <v>0</v>
      </c>
    </row>
    <row r="361" spans="1:22" x14ac:dyDescent="0.45">
      <c r="A361" s="42"/>
      <c r="B361" s="77" t="s">
        <v>218</v>
      </c>
      <c r="C361" s="77" t="s">
        <v>304</v>
      </c>
      <c r="D361" s="78">
        <v>2005</v>
      </c>
      <c r="E361" s="78">
        <v>2005</v>
      </c>
      <c r="F361" s="78">
        <v>3131</v>
      </c>
      <c r="G361" s="78">
        <v>355</v>
      </c>
      <c r="H361" s="78">
        <v>295</v>
      </c>
      <c r="I361" s="79">
        <f t="shared" si="45"/>
        <v>335</v>
      </c>
      <c r="J361" s="79">
        <f t="shared" si="46"/>
        <v>9.3462686567164184</v>
      </c>
      <c r="K361" s="79">
        <f t="shared" si="47"/>
        <v>72.278358208955225</v>
      </c>
      <c r="L361" s="79">
        <v>80</v>
      </c>
      <c r="M361" s="79">
        <f t="shared" si="48"/>
        <v>10</v>
      </c>
      <c r="N361" s="79">
        <f t="shared" si="52"/>
        <v>82.278358208955225</v>
      </c>
      <c r="O361" s="78" t="str">
        <f t="shared" si="49"/>
        <v>T80</v>
      </c>
      <c r="P361" s="1" t="b">
        <f t="shared" si="50"/>
        <v>0</v>
      </c>
      <c r="R361" s="43" t="b">
        <v>0</v>
      </c>
      <c r="T361" s="79">
        <f t="shared" si="53"/>
        <v>10</v>
      </c>
      <c r="U361" s="1" t="b">
        <f t="shared" si="51"/>
        <v>0</v>
      </c>
    </row>
    <row r="362" spans="1:22" x14ac:dyDescent="0.45">
      <c r="A362" s="42"/>
      <c r="B362" s="77" t="s">
        <v>218</v>
      </c>
      <c r="C362" s="77" t="s">
        <v>307</v>
      </c>
      <c r="D362" s="78">
        <v>2002</v>
      </c>
      <c r="E362" s="78">
        <v>2004</v>
      </c>
      <c r="F362" s="78">
        <v>3175</v>
      </c>
      <c r="G362" s="78">
        <v>456</v>
      </c>
      <c r="H362" s="78">
        <v>457</v>
      </c>
      <c r="I362" s="79">
        <f t="shared" si="45"/>
        <v>456.33333333333331</v>
      </c>
      <c r="J362" s="79">
        <f t="shared" si="46"/>
        <v>6.9576333089846605</v>
      </c>
      <c r="K362" s="79">
        <f t="shared" si="47"/>
        <v>82.430058436815187</v>
      </c>
      <c r="L362" s="79">
        <v>85</v>
      </c>
      <c r="M362" s="79">
        <f t="shared" si="48"/>
        <v>12.5</v>
      </c>
      <c r="N362" s="79">
        <f t="shared" si="52"/>
        <v>94.930058436815187</v>
      </c>
      <c r="O362" s="78" t="str">
        <f t="shared" si="49"/>
        <v>T90</v>
      </c>
      <c r="P362" s="1" t="b">
        <f t="shared" si="50"/>
        <v>0</v>
      </c>
      <c r="R362" s="43" t="b">
        <v>0</v>
      </c>
      <c r="T362" s="79">
        <f t="shared" si="53"/>
        <v>12.5</v>
      </c>
      <c r="U362" s="1" t="b">
        <f t="shared" si="51"/>
        <v>0</v>
      </c>
    </row>
    <row r="363" spans="1:22" x14ac:dyDescent="0.45">
      <c r="A363" s="42"/>
      <c r="B363" s="77" t="s">
        <v>218</v>
      </c>
      <c r="C363" s="77" t="s">
        <v>308</v>
      </c>
      <c r="D363" s="78">
        <v>2008</v>
      </c>
      <c r="E363" s="78">
        <v>2009</v>
      </c>
      <c r="F363" s="78">
        <v>3175</v>
      </c>
      <c r="G363" s="78">
        <v>530</v>
      </c>
      <c r="H363" s="78">
        <v>505</v>
      </c>
      <c r="I363" s="79">
        <f t="shared" si="45"/>
        <v>521.66666666666663</v>
      </c>
      <c r="J363" s="79">
        <f t="shared" si="46"/>
        <v>6.0862619808306713</v>
      </c>
      <c r="K363" s="79">
        <f t="shared" si="47"/>
        <v>86.133386581469651</v>
      </c>
      <c r="L363" s="79">
        <v>85</v>
      </c>
      <c r="M363" s="79">
        <f t="shared" si="48"/>
        <v>12.5</v>
      </c>
      <c r="N363" s="79">
        <f t="shared" si="52"/>
        <v>98.633386581469651</v>
      </c>
      <c r="O363" s="78" t="str">
        <f t="shared" si="49"/>
        <v>T90</v>
      </c>
      <c r="P363" s="1" t="b">
        <f t="shared" si="50"/>
        <v>0</v>
      </c>
      <c r="R363" s="43" t="b">
        <v>0</v>
      </c>
      <c r="T363" s="79">
        <f t="shared" si="53"/>
        <v>12.5</v>
      </c>
      <c r="U363" s="1" t="b">
        <f t="shared" si="51"/>
        <v>0</v>
      </c>
    </row>
    <row r="364" spans="1:22" x14ac:dyDescent="0.45">
      <c r="A364" s="42"/>
      <c r="B364" s="77" t="s">
        <v>218</v>
      </c>
      <c r="C364" s="77" t="s">
        <v>308</v>
      </c>
      <c r="D364" s="78">
        <v>2011</v>
      </c>
      <c r="E364" s="78">
        <v>2011</v>
      </c>
      <c r="F364" s="78">
        <v>3075</v>
      </c>
      <c r="G364" s="78">
        <v>620</v>
      </c>
      <c r="H364" s="78">
        <v>516</v>
      </c>
      <c r="I364" s="79">
        <f t="shared" si="45"/>
        <v>585.33333333333326</v>
      </c>
      <c r="J364" s="79">
        <f t="shared" si="46"/>
        <v>5.2534168564920281</v>
      </c>
      <c r="K364" s="79">
        <f t="shared" si="47"/>
        <v>89.672978359908882</v>
      </c>
      <c r="L364" s="79">
        <v>90</v>
      </c>
      <c r="M364" s="79">
        <f t="shared" si="48"/>
        <v>15</v>
      </c>
      <c r="N364" s="79">
        <f t="shared" si="52"/>
        <v>104.67297835990888</v>
      </c>
      <c r="O364" s="78" t="str">
        <f t="shared" si="49"/>
        <v>T100</v>
      </c>
      <c r="P364" s="1" t="b">
        <f t="shared" si="50"/>
        <v>0</v>
      </c>
      <c r="R364" s="43" t="b">
        <v>0</v>
      </c>
      <c r="T364" s="79">
        <f t="shared" si="53"/>
        <v>15</v>
      </c>
      <c r="U364" s="1" t="b">
        <f t="shared" si="51"/>
        <v>0</v>
      </c>
    </row>
    <row r="365" spans="1:22" x14ac:dyDescent="0.45">
      <c r="A365" s="42"/>
      <c r="B365" s="77" t="s">
        <v>218</v>
      </c>
      <c r="C365" s="77" t="s">
        <v>663</v>
      </c>
      <c r="D365" s="78">
        <v>2015</v>
      </c>
      <c r="E365" s="78"/>
      <c r="F365" s="78">
        <v>3153</v>
      </c>
      <c r="G365" s="78">
        <v>475</v>
      </c>
      <c r="H365" s="78">
        <v>324</v>
      </c>
      <c r="I365" s="79">
        <f t="shared" si="45"/>
        <v>424.66666666666663</v>
      </c>
      <c r="J365" s="79">
        <f t="shared" si="46"/>
        <v>7.4246467817896393</v>
      </c>
      <c r="K365" s="79">
        <f t="shared" si="47"/>
        <v>80.445251177394027</v>
      </c>
      <c r="L365" s="79">
        <v>105</v>
      </c>
      <c r="M365" s="79">
        <f t="shared" si="48"/>
        <v>22.5</v>
      </c>
      <c r="N365" s="79">
        <f t="shared" si="52"/>
        <v>102.94525117739403</v>
      </c>
      <c r="O365" s="78" t="str">
        <f t="shared" si="49"/>
        <v>T100</v>
      </c>
      <c r="P365" s="1" t="b">
        <f t="shared" si="50"/>
        <v>0</v>
      </c>
      <c r="R365" s="43" t="b">
        <v>0</v>
      </c>
      <c r="T365" s="79">
        <f t="shared" si="53"/>
        <v>22.5</v>
      </c>
      <c r="U365" s="1" t="b">
        <f t="shared" si="51"/>
        <v>0</v>
      </c>
    </row>
    <row r="366" spans="1:22" x14ac:dyDescent="0.45">
      <c r="A366" s="42"/>
      <c r="B366" s="77" t="s">
        <v>218</v>
      </c>
      <c r="C366" s="77" t="s">
        <v>305</v>
      </c>
      <c r="D366" s="78">
        <v>2004</v>
      </c>
      <c r="E366" s="78">
        <v>2004</v>
      </c>
      <c r="F366" s="78">
        <v>3043</v>
      </c>
      <c r="G366" s="78">
        <v>380</v>
      </c>
      <c r="H366" s="78">
        <v>284</v>
      </c>
      <c r="I366" s="79">
        <f t="shared" si="45"/>
        <v>348</v>
      </c>
      <c r="J366" s="79">
        <f t="shared" si="46"/>
        <v>8.7442528735632177</v>
      </c>
      <c r="K366" s="79">
        <f t="shared" si="47"/>
        <v>74.836925287356323</v>
      </c>
      <c r="L366" s="79">
        <v>85</v>
      </c>
      <c r="M366" s="79">
        <f t="shared" si="48"/>
        <v>12.5</v>
      </c>
      <c r="N366" s="79">
        <f t="shared" si="52"/>
        <v>87.336925287356323</v>
      </c>
      <c r="O366" s="78" t="str">
        <f t="shared" si="49"/>
        <v>T80</v>
      </c>
      <c r="P366" s="1" t="b">
        <f t="shared" si="50"/>
        <v>0</v>
      </c>
      <c r="R366" s="43" t="b">
        <v>0</v>
      </c>
      <c r="T366" s="79">
        <f t="shared" si="53"/>
        <v>12.5</v>
      </c>
      <c r="U366" s="1" t="b">
        <f t="shared" si="51"/>
        <v>0</v>
      </c>
    </row>
    <row r="367" spans="1:22" x14ac:dyDescent="0.45">
      <c r="A367" s="42"/>
      <c r="B367" s="77" t="s">
        <v>218</v>
      </c>
      <c r="C367" s="77" t="s">
        <v>306</v>
      </c>
      <c r="D367" s="78">
        <v>2007</v>
      </c>
      <c r="E367" s="78">
        <v>2007</v>
      </c>
      <c r="F367" s="78">
        <v>3076</v>
      </c>
      <c r="G367" s="78">
        <v>415</v>
      </c>
      <c r="H367" s="78">
        <v>300</v>
      </c>
      <c r="I367" s="79">
        <f t="shared" si="45"/>
        <v>376.66666666666663</v>
      </c>
      <c r="J367" s="79">
        <f t="shared" si="46"/>
        <v>8.1663716814159297</v>
      </c>
      <c r="K367" s="79">
        <f t="shared" si="47"/>
        <v>77.292920353982296</v>
      </c>
      <c r="L367" s="79">
        <v>90</v>
      </c>
      <c r="M367" s="79">
        <f t="shared" si="48"/>
        <v>15</v>
      </c>
      <c r="N367" s="79">
        <f t="shared" si="52"/>
        <v>92.292920353982296</v>
      </c>
      <c r="O367" s="78" t="str">
        <f t="shared" si="49"/>
        <v>T90</v>
      </c>
      <c r="P367" s="1" t="b">
        <f t="shared" si="50"/>
        <v>0</v>
      </c>
      <c r="R367" s="43" t="b">
        <v>0</v>
      </c>
      <c r="T367" s="79">
        <f t="shared" si="53"/>
        <v>15</v>
      </c>
      <c r="U367" s="1" t="b">
        <f t="shared" si="51"/>
        <v>0</v>
      </c>
    </row>
    <row r="368" spans="1:22" x14ac:dyDescent="0.45">
      <c r="A368" s="42"/>
      <c r="B368" s="77" t="s">
        <v>218</v>
      </c>
      <c r="C368" s="77" t="s">
        <v>309</v>
      </c>
      <c r="D368" s="78">
        <v>2010</v>
      </c>
      <c r="E368" s="78">
        <v>2011</v>
      </c>
      <c r="F368" s="78">
        <v>3020</v>
      </c>
      <c r="G368" s="78">
        <v>450</v>
      </c>
      <c r="H368" s="78">
        <v>317</v>
      </c>
      <c r="I368" s="79">
        <f t="shared" si="45"/>
        <v>405.66666666666663</v>
      </c>
      <c r="J368" s="79">
        <f t="shared" si="46"/>
        <v>7.4445357436318824</v>
      </c>
      <c r="K368" s="79">
        <f t="shared" si="47"/>
        <v>80.360723089564502</v>
      </c>
      <c r="L368" s="79">
        <v>95</v>
      </c>
      <c r="M368" s="79">
        <f t="shared" si="48"/>
        <v>17.5</v>
      </c>
      <c r="N368" s="79">
        <f t="shared" si="52"/>
        <v>97.860723089564502</v>
      </c>
      <c r="O368" s="78" t="str">
        <f t="shared" si="49"/>
        <v>T90</v>
      </c>
      <c r="P368" s="1" t="b">
        <f t="shared" si="50"/>
        <v>0</v>
      </c>
      <c r="R368" s="43" t="b">
        <v>0</v>
      </c>
      <c r="T368" s="79">
        <f t="shared" si="53"/>
        <v>17.5</v>
      </c>
      <c r="U368" s="1" t="b">
        <f t="shared" si="51"/>
        <v>0</v>
      </c>
    </row>
    <row r="369" spans="1:21" x14ac:dyDescent="0.45">
      <c r="A369" s="42"/>
      <c r="B369" s="77" t="s">
        <v>218</v>
      </c>
      <c r="C369" s="77" t="s">
        <v>528</v>
      </c>
      <c r="D369" s="78">
        <v>2012</v>
      </c>
      <c r="E369" s="78">
        <v>2012</v>
      </c>
      <c r="F369" s="78">
        <v>3430</v>
      </c>
      <c r="G369" s="78">
        <v>408</v>
      </c>
      <c r="H369" s="78">
        <v>310</v>
      </c>
      <c r="I369" s="79">
        <f t="shared" si="45"/>
        <v>375.33333333333331</v>
      </c>
      <c r="J369" s="79">
        <f t="shared" si="46"/>
        <v>9.1385435168738898</v>
      </c>
      <c r="K369" s="79">
        <f t="shared" si="47"/>
        <v>73.161190053285964</v>
      </c>
      <c r="L369" s="79">
        <v>90</v>
      </c>
      <c r="M369" s="79">
        <f t="shared" si="48"/>
        <v>15</v>
      </c>
      <c r="N369" s="79">
        <f t="shared" si="52"/>
        <v>88.161190053285964</v>
      </c>
      <c r="O369" s="78" t="str">
        <f t="shared" si="49"/>
        <v>T80</v>
      </c>
      <c r="P369" s="1" t="b">
        <f t="shared" si="50"/>
        <v>0</v>
      </c>
      <c r="R369" s="43" t="b">
        <v>0</v>
      </c>
      <c r="T369" s="79">
        <f t="shared" si="53"/>
        <v>15</v>
      </c>
      <c r="U369" s="1" t="b">
        <f t="shared" si="51"/>
        <v>0</v>
      </c>
    </row>
    <row r="370" spans="1:21" x14ac:dyDescent="0.45">
      <c r="A370" s="42"/>
      <c r="B370" s="77" t="s">
        <v>218</v>
      </c>
      <c r="C370" s="77" t="s">
        <v>295</v>
      </c>
      <c r="D370" s="78">
        <v>1986</v>
      </c>
      <c r="E370" s="78">
        <v>1989</v>
      </c>
      <c r="F370" s="78">
        <v>2976</v>
      </c>
      <c r="G370" s="78">
        <v>282</v>
      </c>
      <c r="H370" s="78">
        <v>289</v>
      </c>
      <c r="I370" s="79">
        <f t="shared" si="45"/>
        <v>284.33333333333331</v>
      </c>
      <c r="J370" s="79">
        <f t="shared" si="46"/>
        <v>10.466588511137164</v>
      </c>
      <c r="K370" s="79">
        <f t="shared" si="47"/>
        <v>67.516998827667052</v>
      </c>
      <c r="L370" s="79">
        <v>70</v>
      </c>
      <c r="M370" s="79">
        <f t="shared" si="48"/>
        <v>5</v>
      </c>
      <c r="N370" s="79">
        <f t="shared" si="52"/>
        <v>72.516998827667052</v>
      </c>
      <c r="O370" s="78" t="str">
        <f t="shared" si="49"/>
        <v>T70</v>
      </c>
      <c r="P370" s="1" t="b">
        <f t="shared" si="50"/>
        <v>0</v>
      </c>
      <c r="R370" s="43" t="b">
        <v>0</v>
      </c>
      <c r="T370" s="79">
        <f t="shared" si="53"/>
        <v>5</v>
      </c>
      <c r="U370" s="1" t="b">
        <f t="shared" si="51"/>
        <v>0</v>
      </c>
    </row>
    <row r="371" spans="1:21" x14ac:dyDescent="0.45">
      <c r="A371" s="42"/>
      <c r="B371" s="77" t="s">
        <v>218</v>
      </c>
      <c r="C371" s="77" t="s">
        <v>297</v>
      </c>
      <c r="D371" s="78">
        <v>1989</v>
      </c>
      <c r="E371" s="78">
        <v>1994</v>
      </c>
      <c r="F371" s="78">
        <v>3274</v>
      </c>
      <c r="G371" s="78">
        <v>315</v>
      </c>
      <c r="H371" s="78">
        <v>332</v>
      </c>
      <c r="I371" s="79">
        <f t="shared" si="45"/>
        <v>320.66666666666663</v>
      </c>
      <c r="J371" s="79">
        <f t="shared" si="46"/>
        <v>10.209979209979211</v>
      </c>
      <c r="K371" s="79">
        <f t="shared" si="47"/>
        <v>68.607588357588355</v>
      </c>
      <c r="L371" s="79">
        <v>75</v>
      </c>
      <c r="M371" s="79">
        <f t="shared" si="48"/>
        <v>7.5</v>
      </c>
      <c r="N371" s="79">
        <f t="shared" si="52"/>
        <v>76.107588357588355</v>
      </c>
      <c r="O371" s="78" t="str">
        <f t="shared" si="49"/>
        <v>T70</v>
      </c>
      <c r="P371" s="1" t="b">
        <f t="shared" si="50"/>
        <v>0</v>
      </c>
      <c r="R371" s="43" t="b">
        <v>0</v>
      </c>
      <c r="T371" s="79">
        <f t="shared" si="53"/>
        <v>7.5</v>
      </c>
      <c r="U371" s="1" t="b">
        <f t="shared" si="51"/>
        <v>0</v>
      </c>
    </row>
    <row r="372" spans="1:21" x14ac:dyDescent="0.45">
      <c r="A372" s="42"/>
      <c r="B372" s="77" t="s">
        <v>218</v>
      </c>
      <c r="C372" s="77" t="s">
        <v>299</v>
      </c>
      <c r="D372" s="78">
        <v>1996</v>
      </c>
      <c r="E372" s="78">
        <v>1997</v>
      </c>
      <c r="F372" s="78">
        <v>3307</v>
      </c>
      <c r="G372" s="78">
        <v>408</v>
      </c>
      <c r="H372" s="78">
        <v>398</v>
      </c>
      <c r="I372" s="79">
        <f t="shared" si="45"/>
        <v>404.66666666666663</v>
      </c>
      <c r="J372" s="79">
        <f t="shared" si="46"/>
        <v>8.172158154859968</v>
      </c>
      <c r="K372" s="79">
        <f t="shared" si="47"/>
        <v>77.268327841845135</v>
      </c>
      <c r="L372" s="79">
        <v>80</v>
      </c>
      <c r="M372" s="79">
        <f t="shared" si="48"/>
        <v>10</v>
      </c>
      <c r="N372" s="79">
        <f t="shared" si="52"/>
        <v>87.268327841845135</v>
      </c>
      <c r="O372" s="78" t="str">
        <f t="shared" si="49"/>
        <v>T80</v>
      </c>
      <c r="P372" s="1" t="b">
        <f t="shared" si="50"/>
        <v>0</v>
      </c>
      <c r="R372" s="43" t="b">
        <v>0</v>
      </c>
      <c r="T372" s="79">
        <f t="shared" si="53"/>
        <v>10</v>
      </c>
      <c r="U372" s="1" t="b">
        <f t="shared" si="51"/>
        <v>0</v>
      </c>
    </row>
    <row r="373" spans="1:21" x14ac:dyDescent="0.45">
      <c r="A373" s="42"/>
      <c r="B373" s="77" t="s">
        <v>218</v>
      </c>
      <c r="C373" s="77" t="s">
        <v>310</v>
      </c>
      <c r="D373" s="78">
        <v>2002</v>
      </c>
      <c r="E373" s="78">
        <v>2002</v>
      </c>
      <c r="F373" s="78">
        <v>3388</v>
      </c>
      <c r="G373" s="78">
        <v>415</v>
      </c>
      <c r="H373" s="78">
        <v>415</v>
      </c>
      <c r="I373" s="79">
        <f t="shared" si="45"/>
        <v>414.99999999999994</v>
      </c>
      <c r="J373" s="79">
        <f t="shared" si="46"/>
        <v>8.1638554216867476</v>
      </c>
      <c r="K373" s="79">
        <f t="shared" si="47"/>
        <v>77.303614457831316</v>
      </c>
      <c r="L373" s="79">
        <v>85</v>
      </c>
      <c r="M373" s="79">
        <f t="shared" si="48"/>
        <v>12.5</v>
      </c>
      <c r="N373" s="79">
        <f t="shared" si="52"/>
        <v>89.803614457831316</v>
      </c>
      <c r="O373" s="78" t="str">
        <f t="shared" si="49"/>
        <v>T80</v>
      </c>
      <c r="P373" s="1" t="b">
        <f t="shared" si="50"/>
        <v>0</v>
      </c>
      <c r="R373" s="43" t="b">
        <v>0</v>
      </c>
      <c r="T373" s="79">
        <f t="shared" si="53"/>
        <v>12.5</v>
      </c>
      <c r="U373" s="1" t="b">
        <f t="shared" si="51"/>
        <v>0</v>
      </c>
    </row>
    <row r="374" spans="1:21" x14ac:dyDescent="0.45">
      <c r="A374" s="42"/>
      <c r="B374" s="77" t="s">
        <v>218</v>
      </c>
      <c r="C374" s="77" t="s">
        <v>311</v>
      </c>
      <c r="D374" s="78">
        <v>2007</v>
      </c>
      <c r="E374" s="78">
        <v>2007</v>
      </c>
      <c r="F374" s="78">
        <v>3495</v>
      </c>
      <c r="G374" s="78">
        <v>480</v>
      </c>
      <c r="H374" s="78">
        <v>460</v>
      </c>
      <c r="I374" s="79">
        <f t="shared" si="45"/>
        <v>473.33333333333331</v>
      </c>
      <c r="J374" s="79">
        <f t="shared" si="46"/>
        <v>7.3838028169014089</v>
      </c>
      <c r="K374" s="79">
        <f t="shared" si="47"/>
        <v>80.618838028169009</v>
      </c>
      <c r="L374" s="79">
        <v>85</v>
      </c>
      <c r="M374" s="79">
        <f t="shared" si="48"/>
        <v>12.5</v>
      </c>
      <c r="N374" s="79">
        <f t="shared" si="52"/>
        <v>93.118838028169009</v>
      </c>
      <c r="O374" s="78" t="str">
        <f t="shared" si="49"/>
        <v>T90</v>
      </c>
      <c r="P374" s="1" t="b">
        <f t="shared" si="50"/>
        <v>0</v>
      </c>
      <c r="R374" s="43" t="b">
        <v>0</v>
      </c>
      <c r="T374" s="79">
        <f t="shared" si="53"/>
        <v>12.5</v>
      </c>
      <c r="U374" s="1" t="b">
        <f t="shared" si="51"/>
        <v>0</v>
      </c>
    </row>
    <row r="375" spans="1:21" x14ac:dyDescent="0.45">
      <c r="A375" s="42"/>
      <c r="B375" s="77" t="s">
        <v>218</v>
      </c>
      <c r="C375" s="77" t="s">
        <v>219</v>
      </c>
      <c r="D375" s="78">
        <v>1973</v>
      </c>
      <c r="E375" s="78">
        <v>1973</v>
      </c>
      <c r="F375" s="78">
        <v>2200</v>
      </c>
      <c r="G375" s="78">
        <v>130</v>
      </c>
      <c r="H375" s="78">
        <v>131</v>
      </c>
      <c r="I375" s="79">
        <f t="shared" si="45"/>
        <v>130.33333333333331</v>
      </c>
      <c r="J375" s="79">
        <f t="shared" si="46"/>
        <v>16.879795396419439</v>
      </c>
      <c r="K375" s="79">
        <f t="shared" si="47"/>
        <v>40.260869565217376</v>
      </c>
      <c r="L375" s="79">
        <v>70</v>
      </c>
      <c r="M375" s="79">
        <f t="shared" si="48"/>
        <v>5</v>
      </c>
      <c r="N375" s="79">
        <f t="shared" si="52"/>
        <v>45.260869565217376</v>
      </c>
      <c r="O375" s="78" t="str">
        <f t="shared" si="49"/>
        <v>T40</v>
      </c>
      <c r="P375" s="1" t="b">
        <f t="shared" si="50"/>
        <v>0</v>
      </c>
      <c r="R375" s="43" t="b">
        <v>0</v>
      </c>
      <c r="T375" s="79">
        <f t="shared" si="53"/>
        <v>5</v>
      </c>
      <c r="U375" s="1" t="b">
        <f t="shared" si="51"/>
        <v>0</v>
      </c>
    </row>
    <row r="376" spans="1:21" x14ac:dyDescent="0.45">
      <c r="A376" s="42"/>
      <c r="B376" s="77" t="s">
        <v>218</v>
      </c>
      <c r="C376" s="77" t="s">
        <v>220</v>
      </c>
      <c r="D376" s="78">
        <v>1988</v>
      </c>
      <c r="E376" s="78">
        <v>1988</v>
      </c>
      <c r="F376" s="78">
        <v>2734</v>
      </c>
      <c r="G376" s="78">
        <v>160</v>
      </c>
      <c r="H376" s="78">
        <v>155</v>
      </c>
      <c r="I376" s="79">
        <f t="shared" si="45"/>
        <v>158.33333333333331</v>
      </c>
      <c r="J376" s="79">
        <f t="shared" si="46"/>
        <v>17.267368421052634</v>
      </c>
      <c r="K376" s="79">
        <f t="shared" si="47"/>
        <v>38.613684210526301</v>
      </c>
      <c r="L376" s="79">
        <v>55</v>
      </c>
      <c r="M376" s="79">
        <f t="shared" si="48"/>
        <v>-2.5</v>
      </c>
      <c r="N376" s="79">
        <f t="shared" si="52"/>
        <v>36.113684210526301</v>
      </c>
      <c r="O376" s="78" t="str">
        <f t="shared" si="49"/>
        <v>T30</v>
      </c>
      <c r="P376" s="1" t="b">
        <f t="shared" si="50"/>
        <v>0</v>
      </c>
      <c r="R376" s="43" t="b">
        <v>0</v>
      </c>
      <c r="T376" s="79">
        <f t="shared" si="53"/>
        <v>-2.5</v>
      </c>
      <c r="U376" s="1" t="b">
        <f t="shared" si="51"/>
        <v>0</v>
      </c>
    </row>
    <row r="377" spans="1:21" x14ac:dyDescent="0.45">
      <c r="A377" s="42"/>
      <c r="B377" s="77" t="s">
        <v>218</v>
      </c>
      <c r="C377" s="77" t="s">
        <v>221</v>
      </c>
      <c r="D377" s="78">
        <v>1990</v>
      </c>
      <c r="E377" s="78">
        <v>1991</v>
      </c>
      <c r="F377" s="78">
        <v>3505</v>
      </c>
      <c r="G377" s="78">
        <v>330</v>
      </c>
      <c r="H377" s="78">
        <v>317</v>
      </c>
      <c r="I377" s="79">
        <f t="shared" si="45"/>
        <v>325.66666666666663</v>
      </c>
      <c r="J377" s="79">
        <f t="shared" si="46"/>
        <v>10.762538382804506</v>
      </c>
      <c r="K377" s="79">
        <f t="shared" si="47"/>
        <v>66.259211873080858</v>
      </c>
      <c r="L377" s="79">
        <v>60</v>
      </c>
      <c r="M377" s="79">
        <f t="shared" si="48"/>
        <v>0</v>
      </c>
      <c r="N377" s="79">
        <f t="shared" si="52"/>
        <v>66.259211873080858</v>
      </c>
      <c r="O377" s="78" t="str">
        <f t="shared" si="49"/>
        <v>T60</v>
      </c>
      <c r="P377" s="1" t="b">
        <f t="shared" si="50"/>
        <v>0</v>
      </c>
      <c r="R377" s="43" t="b">
        <v>0</v>
      </c>
      <c r="T377" s="79">
        <f t="shared" si="53"/>
        <v>0</v>
      </c>
      <c r="U377" s="1" t="b">
        <f t="shared" si="51"/>
        <v>0</v>
      </c>
    </row>
    <row r="378" spans="1:21" x14ac:dyDescent="0.45">
      <c r="A378" s="42"/>
      <c r="B378" s="77" t="s">
        <v>218</v>
      </c>
      <c r="C378" s="77" t="s">
        <v>222</v>
      </c>
      <c r="D378" s="78">
        <v>1993</v>
      </c>
      <c r="E378" s="78">
        <v>1995</v>
      </c>
      <c r="F378" s="78">
        <v>3593</v>
      </c>
      <c r="G378" s="78">
        <v>350</v>
      </c>
      <c r="H378" s="78">
        <v>369</v>
      </c>
      <c r="I378" s="79">
        <f t="shared" si="45"/>
        <v>356.33333333333331</v>
      </c>
      <c r="J378" s="79">
        <f t="shared" si="46"/>
        <v>10.083255378858746</v>
      </c>
      <c r="K378" s="79">
        <f t="shared" si="47"/>
        <v>69.146164639850326</v>
      </c>
      <c r="L378" s="79">
        <v>60</v>
      </c>
      <c r="M378" s="79">
        <f t="shared" si="48"/>
        <v>0</v>
      </c>
      <c r="N378" s="79">
        <f t="shared" si="52"/>
        <v>69.146164639850326</v>
      </c>
      <c r="O378" s="78" t="str">
        <f t="shared" si="49"/>
        <v>T60</v>
      </c>
      <c r="P378" s="1" t="b">
        <f t="shared" si="50"/>
        <v>0</v>
      </c>
      <c r="R378" s="43" t="b">
        <v>0</v>
      </c>
      <c r="T378" s="79">
        <f t="shared" si="53"/>
        <v>0</v>
      </c>
      <c r="U378" s="1" t="b">
        <f t="shared" si="51"/>
        <v>0</v>
      </c>
    </row>
    <row r="379" spans="1:21" x14ac:dyDescent="0.45">
      <c r="A379" s="42"/>
      <c r="B379" s="77" t="s">
        <v>218</v>
      </c>
      <c r="C379" s="77" t="s">
        <v>223</v>
      </c>
      <c r="D379" s="78">
        <v>1989</v>
      </c>
      <c r="E379" s="78">
        <v>1991</v>
      </c>
      <c r="F379" s="78">
        <v>2998</v>
      </c>
      <c r="G379" s="78">
        <v>208</v>
      </c>
      <c r="H379" s="78">
        <v>207</v>
      </c>
      <c r="I379" s="79">
        <f t="shared" si="45"/>
        <v>207.66666666666666</v>
      </c>
      <c r="J379" s="79">
        <f t="shared" si="46"/>
        <v>14.436597110754414</v>
      </c>
      <c r="K379" s="79">
        <f t="shared" si="47"/>
        <v>50.644462279293741</v>
      </c>
      <c r="L379" s="79">
        <v>65</v>
      </c>
      <c r="M379" s="79">
        <f t="shared" si="48"/>
        <v>2.5</v>
      </c>
      <c r="N379" s="79">
        <f t="shared" si="52"/>
        <v>53.144462279293741</v>
      </c>
      <c r="O379" s="78" t="str">
        <f t="shared" si="49"/>
        <v>T50</v>
      </c>
      <c r="P379" s="1" t="b">
        <f t="shared" si="50"/>
        <v>0</v>
      </c>
      <c r="R379" s="43" t="b">
        <v>0</v>
      </c>
      <c r="T379" s="79">
        <f t="shared" si="53"/>
        <v>2.5</v>
      </c>
      <c r="U379" s="1" t="b">
        <f t="shared" si="51"/>
        <v>0</v>
      </c>
    </row>
    <row r="380" spans="1:21" x14ac:dyDescent="0.45">
      <c r="A380" s="42"/>
      <c r="B380" s="77" t="s">
        <v>218</v>
      </c>
      <c r="C380" s="77" t="s">
        <v>224</v>
      </c>
      <c r="D380" s="78">
        <v>1986</v>
      </c>
      <c r="E380" s="78">
        <v>1988</v>
      </c>
      <c r="F380" s="78">
        <v>2998</v>
      </c>
      <c r="G380" s="78">
        <v>220</v>
      </c>
      <c r="H380" s="78">
        <v>243</v>
      </c>
      <c r="I380" s="79">
        <f t="shared" si="45"/>
        <v>227.66666666666666</v>
      </c>
      <c r="J380" s="79">
        <f t="shared" si="46"/>
        <v>13.168374816983896</v>
      </c>
      <c r="K380" s="79">
        <f t="shared" si="47"/>
        <v>56.034407027818446</v>
      </c>
      <c r="L380" s="79">
        <v>65</v>
      </c>
      <c r="M380" s="79">
        <f t="shared" si="48"/>
        <v>2.5</v>
      </c>
      <c r="N380" s="79">
        <f t="shared" si="52"/>
        <v>58.534407027818446</v>
      </c>
      <c r="O380" s="78" t="str">
        <f t="shared" si="49"/>
        <v>T50</v>
      </c>
      <c r="P380" s="1" t="b">
        <f t="shared" si="50"/>
        <v>0</v>
      </c>
      <c r="R380" s="43" t="b">
        <v>0</v>
      </c>
      <c r="T380" s="79">
        <f t="shared" si="53"/>
        <v>2.5</v>
      </c>
      <c r="U380" s="1" t="b">
        <f t="shared" si="51"/>
        <v>0</v>
      </c>
    </row>
    <row r="381" spans="1:21" x14ac:dyDescent="0.45">
      <c r="A381" s="42"/>
      <c r="B381" s="77" t="s">
        <v>218</v>
      </c>
      <c r="C381" s="77" t="s">
        <v>224</v>
      </c>
      <c r="D381" s="78">
        <v>1989</v>
      </c>
      <c r="E381" s="78">
        <v>1989</v>
      </c>
      <c r="F381" s="78">
        <v>2998</v>
      </c>
      <c r="G381" s="78">
        <v>250</v>
      </c>
      <c r="H381" s="78">
        <v>258</v>
      </c>
      <c r="I381" s="79">
        <f t="shared" si="45"/>
        <v>252.66666666666666</v>
      </c>
      <c r="J381" s="79">
        <f t="shared" si="46"/>
        <v>11.865435356200528</v>
      </c>
      <c r="K381" s="79">
        <f t="shared" si="47"/>
        <v>61.571899736147756</v>
      </c>
      <c r="L381" s="79">
        <v>65</v>
      </c>
      <c r="M381" s="79">
        <f t="shared" si="48"/>
        <v>2.5</v>
      </c>
      <c r="N381" s="79">
        <f t="shared" si="52"/>
        <v>64.071899736147756</v>
      </c>
      <c r="O381" s="78" t="str">
        <f t="shared" si="49"/>
        <v>T60</v>
      </c>
      <c r="P381" s="1" t="b">
        <f t="shared" si="50"/>
        <v>0</v>
      </c>
      <c r="R381" s="43" t="b">
        <v>0</v>
      </c>
      <c r="T381" s="79">
        <f t="shared" si="53"/>
        <v>2.5</v>
      </c>
      <c r="U381" s="1" t="b">
        <f t="shared" si="51"/>
        <v>0</v>
      </c>
    </row>
    <row r="382" spans="1:21" x14ac:dyDescent="0.45">
      <c r="A382" s="42"/>
      <c r="B382" s="77" t="s">
        <v>218</v>
      </c>
      <c r="C382" s="77" t="s">
        <v>225</v>
      </c>
      <c r="D382" s="78">
        <v>1997</v>
      </c>
      <c r="E382" s="78">
        <v>1999</v>
      </c>
      <c r="F382" s="78">
        <v>2822</v>
      </c>
      <c r="G382" s="78">
        <v>201</v>
      </c>
      <c r="H382" s="78">
        <v>181</v>
      </c>
      <c r="I382" s="79">
        <f t="shared" si="45"/>
        <v>194.33333333333331</v>
      </c>
      <c r="J382" s="79">
        <f t="shared" si="46"/>
        <v>14.521440823327618</v>
      </c>
      <c r="K382" s="79">
        <f t="shared" si="47"/>
        <v>50.283876500857623</v>
      </c>
      <c r="L382" s="79">
        <v>70</v>
      </c>
      <c r="M382" s="79">
        <f t="shared" si="48"/>
        <v>5</v>
      </c>
      <c r="N382" s="79">
        <f t="shared" si="52"/>
        <v>55.283876500857623</v>
      </c>
      <c r="O382" s="78" t="str">
        <f t="shared" si="49"/>
        <v>T50</v>
      </c>
      <c r="P382" s="1" t="b">
        <f t="shared" si="50"/>
        <v>0</v>
      </c>
      <c r="R382" s="43" t="b">
        <v>0</v>
      </c>
      <c r="T382" s="79">
        <f t="shared" si="53"/>
        <v>5</v>
      </c>
      <c r="U382" s="1" t="b">
        <f t="shared" si="51"/>
        <v>0</v>
      </c>
    </row>
    <row r="383" spans="1:21" x14ac:dyDescent="0.45">
      <c r="A383" s="42"/>
      <c r="B383" s="77" t="s">
        <v>218</v>
      </c>
      <c r="C383" s="77" t="s">
        <v>225</v>
      </c>
      <c r="D383" s="78">
        <v>2000</v>
      </c>
      <c r="E383" s="78">
        <v>2002</v>
      </c>
      <c r="F383" s="78">
        <v>2778</v>
      </c>
      <c r="G383" s="78">
        <v>217</v>
      </c>
      <c r="H383" s="78">
        <v>192</v>
      </c>
      <c r="I383" s="79">
        <f t="shared" si="45"/>
        <v>208.66666666666666</v>
      </c>
      <c r="J383" s="79">
        <f t="shared" si="46"/>
        <v>13.313099041533548</v>
      </c>
      <c r="K383" s="79">
        <f t="shared" si="47"/>
        <v>55.419329073482423</v>
      </c>
      <c r="L383" s="79">
        <v>70</v>
      </c>
      <c r="M383" s="79">
        <f t="shared" si="48"/>
        <v>5</v>
      </c>
      <c r="N383" s="79">
        <f t="shared" si="52"/>
        <v>60.419329073482423</v>
      </c>
      <c r="O383" s="78" t="str">
        <f t="shared" si="49"/>
        <v>T60</v>
      </c>
      <c r="P383" s="1" t="b">
        <f t="shared" si="50"/>
        <v>0</v>
      </c>
      <c r="R383" s="43" t="b">
        <v>0</v>
      </c>
      <c r="T383" s="79">
        <f t="shared" si="53"/>
        <v>5</v>
      </c>
      <c r="U383" s="1" t="b">
        <f t="shared" si="51"/>
        <v>0</v>
      </c>
    </row>
    <row r="384" spans="1:21" x14ac:dyDescent="0.45">
      <c r="A384" s="42"/>
      <c r="B384" s="77" t="s">
        <v>218</v>
      </c>
      <c r="C384" s="77" t="s">
        <v>225</v>
      </c>
      <c r="D384" s="78">
        <v>2003</v>
      </c>
      <c r="E384" s="78">
        <v>2004</v>
      </c>
      <c r="F384" s="78">
        <v>2778</v>
      </c>
      <c r="G384" s="78">
        <v>228</v>
      </c>
      <c r="H384" s="78">
        <v>192</v>
      </c>
      <c r="I384" s="79">
        <f t="shared" si="45"/>
        <v>216</v>
      </c>
      <c r="J384" s="79">
        <f t="shared" si="46"/>
        <v>12.861111111111111</v>
      </c>
      <c r="K384" s="79">
        <f t="shared" si="47"/>
        <v>57.340277777777779</v>
      </c>
      <c r="L384" s="79">
        <v>75</v>
      </c>
      <c r="M384" s="79">
        <f t="shared" si="48"/>
        <v>7.5</v>
      </c>
      <c r="N384" s="79">
        <f t="shared" si="52"/>
        <v>64.840277777777771</v>
      </c>
      <c r="O384" s="78" t="str">
        <f t="shared" si="49"/>
        <v>T60</v>
      </c>
      <c r="P384" s="1" t="b">
        <f t="shared" si="50"/>
        <v>0</v>
      </c>
      <c r="R384" s="43" t="b">
        <v>0</v>
      </c>
      <c r="T384" s="79">
        <f t="shared" si="53"/>
        <v>7.5</v>
      </c>
      <c r="U384" s="1" t="b">
        <f t="shared" si="51"/>
        <v>0</v>
      </c>
    </row>
    <row r="385" spans="1:21" x14ac:dyDescent="0.45">
      <c r="A385" s="42"/>
      <c r="B385" s="77" t="s">
        <v>218</v>
      </c>
      <c r="C385" s="77" t="s">
        <v>225</v>
      </c>
      <c r="D385" s="78">
        <v>2005</v>
      </c>
      <c r="E385" s="78">
        <v>2006</v>
      </c>
      <c r="F385" s="78">
        <v>2855</v>
      </c>
      <c r="G385" s="78">
        <v>240</v>
      </c>
      <c r="H385" s="78">
        <v>199</v>
      </c>
      <c r="I385" s="79">
        <f t="shared" si="45"/>
        <v>226.33333333333331</v>
      </c>
      <c r="J385" s="79">
        <f t="shared" si="46"/>
        <v>12.614138438880708</v>
      </c>
      <c r="K385" s="79">
        <f t="shared" si="47"/>
        <v>58.389911634756992</v>
      </c>
      <c r="L385" s="79">
        <v>75</v>
      </c>
      <c r="M385" s="79">
        <f t="shared" si="48"/>
        <v>7.5</v>
      </c>
      <c r="N385" s="79">
        <f t="shared" si="52"/>
        <v>65.889911634756999</v>
      </c>
      <c r="O385" s="78" t="str">
        <f t="shared" si="49"/>
        <v>T60</v>
      </c>
      <c r="P385" s="1" t="b">
        <f t="shared" si="50"/>
        <v>0</v>
      </c>
      <c r="R385" s="43" t="b">
        <v>0</v>
      </c>
      <c r="T385" s="79">
        <f t="shared" si="53"/>
        <v>7.5</v>
      </c>
      <c r="U385" s="1" t="b">
        <f t="shared" si="51"/>
        <v>0</v>
      </c>
    </row>
    <row r="386" spans="1:21" x14ac:dyDescent="0.45">
      <c r="A386" s="42"/>
      <c r="B386" s="77" t="s">
        <v>218</v>
      </c>
      <c r="C386" s="77" t="s">
        <v>225</v>
      </c>
      <c r="D386" s="78">
        <v>2007</v>
      </c>
      <c r="E386" s="78">
        <v>2008</v>
      </c>
      <c r="F386" s="78">
        <v>2855</v>
      </c>
      <c r="G386" s="78">
        <v>245</v>
      </c>
      <c r="H386" s="78">
        <v>201</v>
      </c>
      <c r="I386" s="79">
        <f t="shared" si="45"/>
        <v>230.33333333333331</v>
      </c>
      <c r="J386" s="79">
        <f t="shared" si="46"/>
        <v>12.395079594790161</v>
      </c>
      <c r="K386" s="79">
        <f t="shared" si="47"/>
        <v>59.320911722141815</v>
      </c>
      <c r="L386" s="79">
        <v>75</v>
      </c>
      <c r="M386" s="79">
        <f t="shared" si="48"/>
        <v>7.5</v>
      </c>
      <c r="N386" s="79">
        <f t="shared" si="52"/>
        <v>66.820911722141815</v>
      </c>
      <c r="O386" s="78" t="str">
        <f t="shared" si="49"/>
        <v>T60</v>
      </c>
      <c r="P386" s="1" t="b">
        <f t="shared" si="50"/>
        <v>0</v>
      </c>
      <c r="R386" s="43" t="b">
        <v>0</v>
      </c>
      <c r="T386" s="79">
        <f t="shared" si="53"/>
        <v>7.5</v>
      </c>
      <c r="U386" s="1" t="b">
        <f t="shared" si="51"/>
        <v>0</v>
      </c>
    </row>
    <row r="387" spans="1:21" x14ac:dyDescent="0.45">
      <c r="A387" s="42"/>
      <c r="B387" s="77" t="s">
        <v>218</v>
      </c>
      <c r="C387" s="77" t="s">
        <v>225</v>
      </c>
      <c r="D387" s="78">
        <v>2009</v>
      </c>
      <c r="E387" s="78">
        <v>2011</v>
      </c>
      <c r="F387" s="78">
        <v>2943</v>
      </c>
      <c r="G387" s="78">
        <v>255</v>
      </c>
      <c r="H387" s="78">
        <v>214</v>
      </c>
      <c r="I387" s="79">
        <f t="shared" si="45"/>
        <v>241.33333333333331</v>
      </c>
      <c r="J387" s="79">
        <f t="shared" si="46"/>
        <v>12.19475138121547</v>
      </c>
      <c r="K387" s="79">
        <f t="shared" si="47"/>
        <v>60.172306629834253</v>
      </c>
      <c r="L387" s="79">
        <v>75</v>
      </c>
      <c r="M387" s="79">
        <f t="shared" si="48"/>
        <v>7.5</v>
      </c>
      <c r="N387" s="79">
        <f t="shared" si="52"/>
        <v>67.672306629834253</v>
      </c>
      <c r="O387" s="78" t="str">
        <f t="shared" si="49"/>
        <v>T60</v>
      </c>
      <c r="P387" s="1" t="b">
        <f t="shared" si="50"/>
        <v>0</v>
      </c>
      <c r="R387" s="43" t="b">
        <v>0</v>
      </c>
      <c r="T387" s="79">
        <f t="shared" si="53"/>
        <v>7.5</v>
      </c>
      <c r="U387" s="1" t="b">
        <f t="shared" si="51"/>
        <v>0</v>
      </c>
    </row>
    <row r="388" spans="1:21" x14ac:dyDescent="0.45">
      <c r="A388" s="42"/>
      <c r="B388" s="77" t="s">
        <v>218</v>
      </c>
      <c r="C388" s="77" t="s">
        <v>226</v>
      </c>
      <c r="D388" s="78">
        <v>2000</v>
      </c>
      <c r="E388" s="78">
        <v>2002</v>
      </c>
      <c r="F388" s="78">
        <v>2855</v>
      </c>
      <c r="G388" s="78">
        <v>250</v>
      </c>
      <c r="H388" s="78">
        <v>225</v>
      </c>
      <c r="I388" s="79">
        <f t="shared" si="45"/>
        <v>241.66666666666666</v>
      </c>
      <c r="J388" s="79">
        <f t="shared" si="46"/>
        <v>11.813793103448276</v>
      </c>
      <c r="K388" s="79">
        <f t="shared" si="47"/>
        <v>61.791379310344823</v>
      </c>
      <c r="L388" s="79">
        <v>75</v>
      </c>
      <c r="M388" s="79">
        <f t="shared" si="48"/>
        <v>7.5</v>
      </c>
      <c r="N388" s="79">
        <f t="shared" si="52"/>
        <v>69.291379310344823</v>
      </c>
      <c r="O388" s="78" t="str">
        <f t="shared" si="49"/>
        <v>T60</v>
      </c>
      <c r="P388" s="1" t="b">
        <f t="shared" si="50"/>
        <v>0</v>
      </c>
      <c r="R388" s="43" t="b">
        <v>0</v>
      </c>
      <c r="T388" s="79">
        <f t="shared" si="53"/>
        <v>7.5</v>
      </c>
      <c r="U388" s="1" t="b">
        <f t="shared" si="51"/>
        <v>0</v>
      </c>
    </row>
    <row r="389" spans="1:21" x14ac:dyDescent="0.45">
      <c r="A389" s="42"/>
      <c r="B389" s="77" t="s">
        <v>218</v>
      </c>
      <c r="C389" s="77" t="s">
        <v>226</v>
      </c>
      <c r="D389" s="78">
        <v>2003</v>
      </c>
      <c r="E389" s="78">
        <v>2004</v>
      </c>
      <c r="F389" s="78">
        <v>2999</v>
      </c>
      <c r="G389" s="78">
        <v>258</v>
      </c>
      <c r="H389" s="78">
        <v>229</v>
      </c>
      <c r="I389" s="79">
        <f t="shared" si="45"/>
        <v>248.33333333333331</v>
      </c>
      <c r="J389" s="79">
        <f t="shared" si="46"/>
        <v>12.076510067114095</v>
      </c>
      <c r="K389" s="79">
        <f t="shared" si="47"/>
        <v>60.674832214765097</v>
      </c>
      <c r="L389" s="79">
        <v>80</v>
      </c>
      <c r="M389" s="79">
        <f t="shared" si="48"/>
        <v>10</v>
      </c>
      <c r="N389" s="79">
        <f t="shared" si="52"/>
        <v>70.674832214765104</v>
      </c>
      <c r="O389" s="78" t="str">
        <f t="shared" si="49"/>
        <v>T70</v>
      </c>
      <c r="P389" s="1" t="b">
        <f t="shared" si="50"/>
        <v>0</v>
      </c>
      <c r="R389" s="43" t="b">
        <v>0</v>
      </c>
      <c r="T389" s="79">
        <f t="shared" si="53"/>
        <v>10</v>
      </c>
      <c r="U389" s="1" t="b">
        <f t="shared" si="51"/>
        <v>0</v>
      </c>
    </row>
    <row r="390" spans="1:21" x14ac:dyDescent="0.45">
      <c r="A390" s="42"/>
      <c r="B390" s="77" t="s">
        <v>218</v>
      </c>
      <c r="C390" s="77" t="s">
        <v>226</v>
      </c>
      <c r="D390" s="78">
        <v>2005</v>
      </c>
      <c r="E390" s="78">
        <v>2006</v>
      </c>
      <c r="F390" s="78">
        <v>2965</v>
      </c>
      <c r="G390" s="78">
        <v>280</v>
      </c>
      <c r="H390" s="78">
        <v>236</v>
      </c>
      <c r="I390" s="79">
        <f t="shared" si="45"/>
        <v>265.33333333333331</v>
      </c>
      <c r="J390" s="79">
        <f t="shared" si="46"/>
        <v>11.174623115577891</v>
      </c>
      <c r="K390" s="79">
        <f t="shared" si="47"/>
        <v>64.507851758793961</v>
      </c>
      <c r="L390" s="79">
        <v>80</v>
      </c>
      <c r="M390" s="79">
        <f t="shared" si="48"/>
        <v>10</v>
      </c>
      <c r="N390" s="79">
        <f t="shared" si="52"/>
        <v>74.507851758793961</v>
      </c>
      <c r="O390" s="78" t="str">
        <f t="shared" si="49"/>
        <v>T70</v>
      </c>
      <c r="P390" s="1" t="b">
        <f t="shared" si="50"/>
        <v>0</v>
      </c>
      <c r="R390" s="43" t="b">
        <v>0</v>
      </c>
      <c r="T390" s="79">
        <f t="shared" si="53"/>
        <v>10</v>
      </c>
      <c r="U390" s="1" t="b">
        <f t="shared" si="51"/>
        <v>0</v>
      </c>
    </row>
    <row r="391" spans="1:21" x14ac:dyDescent="0.45">
      <c r="A391" s="42"/>
      <c r="B391" s="77" t="s">
        <v>218</v>
      </c>
      <c r="C391" s="77" t="s">
        <v>226</v>
      </c>
      <c r="D391" s="78">
        <v>2007</v>
      </c>
      <c r="E391" s="78">
        <v>2008</v>
      </c>
      <c r="F391" s="78">
        <v>2965</v>
      </c>
      <c r="G391" s="78">
        <v>295</v>
      </c>
      <c r="H391" s="78">
        <v>251</v>
      </c>
      <c r="I391" s="79">
        <f t="shared" si="45"/>
        <v>280.33333333333331</v>
      </c>
      <c r="J391" s="79">
        <f t="shared" si="46"/>
        <v>10.576694411414984</v>
      </c>
      <c r="K391" s="79">
        <f t="shared" si="47"/>
        <v>67.04904875148631</v>
      </c>
      <c r="L391" s="79">
        <v>80</v>
      </c>
      <c r="M391" s="79">
        <f t="shared" si="48"/>
        <v>10</v>
      </c>
      <c r="N391" s="79">
        <f t="shared" si="52"/>
        <v>77.04904875148631</v>
      </c>
      <c r="O391" s="78" t="str">
        <f t="shared" si="49"/>
        <v>T70</v>
      </c>
      <c r="P391" s="1" t="b">
        <f t="shared" si="50"/>
        <v>0</v>
      </c>
      <c r="R391" s="43" t="b">
        <v>0</v>
      </c>
      <c r="T391" s="79">
        <f t="shared" si="53"/>
        <v>10</v>
      </c>
      <c r="U391" s="1" t="b">
        <f t="shared" si="51"/>
        <v>0</v>
      </c>
    </row>
    <row r="392" spans="1:21" x14ac:dyDescent="0.45">
      <c r="A392" s="42"/>
      <c r="B392" s="77" t="s">
        <v>218</v>
      </c>
      <c r="C392" s="77" t="s">
        <v>226</v>
      </c>
      <c r="D392" s="78">
        <v>2009</v>
      </c>
      <c r="E392" s="78">
        <v>2011</v>
      </c>
      <c r="F392" s="78">
        <v>2987</v>
      </c>
      <c r="G392" s="78">
        <v>310</v>
      </c>
      <c r="H392" s="78">
        <v>265</v>
      </c>
      <c r="I392" s="79">
        <f t="shared" si="45"/>
        <v>295</v>
      </c>
      <c r="J392" s="79">
        <f t="shared" si="46"/>
        <v>10.125423728813558</v>
      </c>
      <c r="K392" s="79">
        <f t="shared" si="47"/>
        <v>68.966949152542384</v>
      </c>
      <c r="L392" s="79">
        <v>80</v>
      </c>
      <c r="M392" s="79">
        <f t="shared" si="48"/>
        <v>10</v>
      </c>
      <c r="N392" s="79">
        <f t="shared" si="52"/>
        <v>78.966949152542384</v>
      </c>
      <c r="O392" s="78" t="str">
        <f t="shared" si="49"/>
        <v>T70</v>
      </c>
      <c r="P392" s="1" t="b">
        <f t="shared" si="50"/>
        <v>0</v>
      </c>
      <c r="R392" s="43" t="b">
        <v>0</v>
      </c>
      <c r="T392" s="79">
        <f t="shared" si="53"/>
        <v>10</v>
      </c>
      <c r="U392" s="1" t="b">
        <f t="shared" si="51"/>
        <v>0</v>
      </c>
    </row>
    <row r="393" spans="1:21" x14ac:dyDescent="0.45">
      <c r="A393" s="42"/>
      <c r="B393" s="77" t="s">
        <v>218</v>
      </c>
      <c r="C393" s="77" t="s">
        <v>556</v>
      </c>
      <c r="D393" s="78">
        <v>2005</v>
      </c>
      <c r="E393" s="78">
        <v>2008</v>
      </c>
      <c r="F393" s="78">
        <v>3075</v>
      </c>
      <c r="G393" s="78">
        <v>325</v>
      </c>
      <c r="H393" s="78">
        <v>273</v>
      </c>
      <c r="I393" s="79">
        <f t="shared" si="45"/>
        <v>307.66666666666663</v>
      </c>
      <c r="J393" s="79">
        <f t="shared" si="46"/>
        <v>9.9945828819068261</v>
      </c>
      <c r="K393" s="79">
        <f t="shared" si="47"/>
        <v>69.523022751895979</v>
      </c>
      <c r="L393" s="79">
        <v>80</v>
      </c>
      <c r="M393" s="79">
        <f t="shared" si="48"/>
        <v>10</v>
      </c>
      <c r="N393" s="79">
        <f t="shared" si="52"/>
        <v>79.523022751895979</v>
      </c>
      <c r="O393" s="78" t="str">
        <f t="shared" si="49"/>
        <v>T70</v>
      </c>
      <c r="P393" s="1" t="b">
        <f t="shared" si="50"/>
        <v>0</v>
      </c>
      <c r="R393" s="43" t="b">
        <v>0</v>
      </c>
      <c r="T393" s="79">
        <f t="shared" si="53"/>
        <v>10</v>
      </c>
      <c r="U393" s="1" t="b">
        <f t="shared" si="51"/>
        <v>0</v>
      </c>
    </row>
    <row r="394" spans="1:21" x14ac:dyDescent="0.45">
      <c r="A394" s="42"/>
      <c r="B394" s="77" t="s">
        <v>218</v>
      </c>
      <c r="C394" s="77" t="s">
        <v>418</v>
      </c>
      <c r="D394" s="78">
        <v>2004</v>
      </c>
      <c r="E394" s="78">
        <v>2007</v>
      </c>
      <c r="F394" s="78">
        <v>3000</v>
      </c>
      <c r="G394" s="78">
        <v>612</v>
      </c>
      <c r="H394" s="78">
        <v>435</v>
      </c>
      <c r="I394" s="79">
        <f t="shared" si="45"/>
        <v>553</v>
      </c>
      <c r="J394" s="79">
        <f t="shared" si="46"/>
        <v>5.4249547920433994</v>
      </c>
      <c r="K394" s="79">
        <f t="shared" si="47"/>
        <v>88.943942133815554</v>
      </c>
      <c r="L394" s="79">
        <v>90</v>
      </c>
      <c r="M394" s="79">
        <f t="shared" si="48"/>
        <v>15</v>
      </c>
      <c r="N394" s="79">
        <f t="shared" si="52"/>
        <v>103.94394213381555</v>
      </c>
      <c r="O394" s="78" t="str">
        <f t="shared" si="49"/>
        <v>T100</v>
      </c>
      <c r="P394" s="1" t="b">
        <f t="shared" si="50"/>
        <v>0</v>
      </c>
      <c r="R394" s="43" t="b">
        <v>0</v>
      </c>
      <c r="T394" s="79">
        <f t="shared" si="53"/>
        <v>15</v>
      </c>
      <c r="U394" s="1" t="b">
        <f t="shared" si="51"/>
        <v>0</v>
      </c>
    </row>
    <row r="395" spans="1:21" x14ac:dyDescent="0.45">
      <c r="A395" s="42"/>
      <c r="B395" s="90" t="s">
        <v>218</v>
      </c>
      <c r="C395" s="90" t="s">
        <v>578</v>
      </c>
      <c r="D395" s="86">
        <v>2013</v>
      </c>
      <c r="E395" s="86">
        <v>2014</v>
      </c>
      <c r="F395" s="86">
        <v>4597</v>
      </c>
      <c r="G395" s="86">
        <v>420</v>
      </c>
      <c r="H395" s="86">
        <v>380</v>
      </c>
      <c r="I395" s="85">
        <f t="shared" si="45"/>
        <v>406.66666666666663</v>
      </c>
      <c r="J395" s="85">
        <f t="shared" si="46"/>
        <v>11.304098360655738</v>
      </c>
      <c r="K395" s="79">
        <f t="shared" si="47"/>
        <v>63.957581967213116</v>
      </c>
      <c r="L395" s="87">
        <v>55</v>
      </c>
      <c r="M395" s="79">
        <f t="shared" si="48"/>
        <v>-2.5</v>
      </c>
      <c r="N395" s="79">
        <f t="shared" si="52"/>
        <v>61.457581967213116</v>
      </c>
      <c r="O395" s="78" t="str">
        <f t="shared" si="49"/>
        <v>T60</v>
      </c>
      <c r="P395" s="1" t="b">
        <f t="shared" si="50"/>
        <v>0</v>
      </c>
      <c r="R395" s="43" t="b">
        <v>0</v>
      </c>
      <c r="T395" s="79">
        <f t="shared" si="53"/>
        <v>-2.5</v>
      </c>
      <c r="U395" s="1" t="b">
        <f t="shared" si="51"/>
        <v>0</v>
      </c>
    </row>
    <row r="396" spans="1:21" x14ac:dyDescent="0.45">
      <c r="A396" s="42"/>
      <c r="B396" s="77" t="s">
        <v>218</v>
      </c>
      <c r="C396" s="77" t="s">
        <v>554</v>
      </c>
      <c r="D396" s="78">
        <v>2003</v>
      </c>
      <c r="E396" s="78">
        <v>2006</v>
      </c>
      <c r="F396" s="78">
        <v>5200</v>
      </c>
      <c r="G396" s="78">
        <v>450</v>
      </c>
      <c r="H396" s="78">
        <v>460</v>
      </c>
      <c r="I396" s="79">
        <f t="shared" ref="I396:I459" si="54">G396*(2/3)+H396*(1/3)</f>
        <v>453.33333333333331</v>
      </c>
      <c r="J396" s="79">
        <f t="shared" ref="J396:J459" si="55">F396/I396</f>
        <v>11.470588235294118</v>
      </c>
      <c r="K396" s="79">
        <f t="shared" ref="K396:K459" si="56">J396*-4.25+112</f>
        <v>63.25</v>
      </c>
      <c r="L396" s="79">
        <v>50</v>
      </c>
      <c r="M396" s="79">
        <f t="shared" ref="M396:M459" si="57">(L396-60)/3*1.5</f>
        <v>-5</v>
      </c>
      <c r="N396" s="79">
        <f t="shared" si="52"/>
        <v>58.25</v>
      </c>
      <c r="O396" s="78" t="str">
        <f t="shared" ref="O396:O459" si="58">INDEX(Base_Classes, MATCH($N396, Base_Assessments, 1)+1)</f>
        <v>T50</v>
      </c>
      <c r="P396" s="1" t="b">
        <f t="shared" ref="P396:P459" si="59">OR(R396,A396)</f>
        <v>0</v>
      </c>
      <c r="R396" s="43" t="b">
        <v>0</v>
      </c>
      <c r="T396" s="79">
        <f t="shared" si="53"/>
        <v>-5</v>
      </c>
      <c r="U396" s="1" t="b">
        <f t="shared" ref="U396:U459" si="60">AND(P396,$S$9)</f>
        <v>0</v>
      </c>
    </row>
    <row r="397" spans="1:21" x14ac:dyDescent="0.45">
      <c r="A397" s="42"/>
      <c r="B397" s="89" t="s">
        <v>218</v>
      </c>
      <c r="C397" s="89" t="s">
        <v>798</v>
      </c>
      <c r="D397" s="84">
        <v>2006</v>
      </c>
      <c r="E397" s="84">
        <v>2008</v>
      </c>
      <c r="F397" s="84">
        <v>2866</v>
      </c>
      <c r="G397" s="84">
        <v>245</v>
      </c>
      <c r="H397" s="84">
        <v>201</v>
      </c>
      <c r="I397" s="85">
        <f t="shared" si="54"/>
        <v>230.33333333333331</v>
      </c>
      <c r="J397" s="85">
        <f t="shared" si="55"/>
        <v>12.442836468885673</v>
      </c>
      <c r="K397" s="79">
        <f t="shared" si="56"/>
        <v>59.117945007235889</v>
      </c>
      <c r="L397" s="85">
        <v>80</v>
      </c>
      <c r="M397" s="79">
        <f t="shared" si="57"/>
        <v>10</v>
      </c>
      <c r="N397" s="85">
        <f t="shared" ref="N397:N415" si="61">M397+K397</f>
        <v>69.117945007235889</v>
      </c>
      <c r="O397" s="78" t="str">
        <f t="shared" si="58"/>
        <v>T60</v>
      </c>
      <c r="P397" s="1" t="b">
        <f t="shared" si="59"/>
        <v>0</v>
      </c>
      <c r="R397" s="43" t="b">
        <v>0</v>
      </c>
      <c r="T397" s="79">
        <f t="shared" ref="T397:T441" si="62">(L397-60)/3*1.5</f>
        <v>10</v>
      </c>
      <c r="U397" s="1" t="b">
        <f t="shared" si="60"/>
        <v>0</v>
      </c>
    </row>
    <row r="398" spans="1:21" x14ac:dyDescent="0.45">
      <c r="A398" s="42"/>
      <c r="B398" s="77" t="s">
        <v>218</v>
      </c>
      <c r="C398" s="77" t="s">
        <v>799</v>
      </c>
      <c r="D398" s="78">
        <v>2009</v>
      </c>
      <c r="E398" s="78">
        <v>2012</v>
      </c>
      <c r="F398" s="84">
        <v>2932</v>
      </c>
      <c r="G398" s="84">
        <v>265</v>
      </c>
      <c r="H398" s="84">
        <v>221</v>
      </c>
      <c r="I398" s="85">
        <f t="shared" si="54"/>
        <v>250.33333333333331</v>
      </c>
      <c r="J398" s="85">
        <f t="shared" si="55"/>
        <v>11.712383488681759</v>
      </c>
      <c r="K398" s="79">
        <f t="shared" si="56"/>
        <v>62.222370173102526</v>
      </c>
      <c r="L398" s="85">
        <v>80</v>
      </c>
      <c r="M398" s="79">
        <f t="shared" si="57"/>
        <v>10</v>
      </c>
      <c r="N398" s="85">
        <f t="shared" si="61"/>
        <v>72.222370173102519</v>
      </c>
      <c r="O398" s="84" t="str">
        <f t="shared" si="58"/>
        <v>T70</v>
      </c>
      <c r="P398" s="1" t="b">
        <f t="shared" si="59"/>
        <v>0</v>
      </c>
      <c r="R398" s="43" t="b">
        <v>0</v>
      </c>
      <c r="T398" s="79">
        <f t="shared" si="62"/>
        <v>10</v>
      </c>
      <c r="U398" s="1" t="b">
        <f t="shared" si="60"/>
        <v>0</v>
      </c>
    </row>
    <row r="399" spans="1:21" x14ac:dyDescent="0.45">
      <c r="A399" s="42"/>
      <c r="B399" s="89" t="s">
        <v>218</v>
      </c>
      <c r="C399" s="89" t="s">
        <v>800</v>
      </c>
      <c r="D399" s="84">
        <v>2014</v>
      </c>
      <c r="E399" s="84">
        <v>2016</v>
      </c>
      <c r="F399" s="84">
        <v>2888</v>
      </c>
      <c r="G399" s="84">
        <v>275</v>
      </c>
      <c r="H399" s="84">
        <v>213</v>
      </c>
      <c r="I399" s="85">
        <f t="shared" si="54"/>
        <v>254.33333333333331</v>
      </c>
      <c r="J399" s="85">
        <f t="shared" si="55"/>
        <v>11.355176933158585</v>
      </c>
      <c r="K399" s="79">
        <f t="shared" si="56"/>
        <v>63.740498034076012</v>
      </c>
      <c r="L399" s="85">
        <v>80</v>
      </c>
      <c r="M399" s="79">
        <f t="shared" si="57"/>
        <v>10</v>
      </c>
      <c r="N399" s="85">
        <f t="shared" si="61"/>
        <v>73.740498034076012</v>
      </c>
      <c r="O399" s="78" t="str">
        <f t="shared" si="58"/>
        <v>T70</v>
      </c>
      <c r="P399" s="1" t="b">
        <f t="shared" si="59"/>
        <v>0</v>
      </c>
      <c r="R399" s="43" t="b">
        <v>0</v>
      </c>
      <c r="T399" s="79">
        <f t="shared" si="62"/>
        <v>10</v>
      </c>
      <c r="U399" s="1" t="b">
        <f t="shared" si="60"/>
        <v>0</v>
      </c>
    </row>
    <row r="400" spans="1:21" x14ac:dyDescent="0.45">
      <c r="A400" s="42"/>
      <c r="B400" s="90" t="s">
        <v>218</v>
      </c>
      <c r="C400" s="90" t="s">
        <v>801</v>
      </c>
      <c r="D400" s="86">
        <v>2017</v>
      </c>
      <c r="E400" s="86"/>
      <c r="F400" s="86">
        <v>2943</v>
      </c>
      <c r="G400" s="86">
        <v>300</v>
      </c>
      <c r="H400" s="86">
        <v>280</v>
      </c>
      <c r="I400" s="85">
        <f t="shared" si="54"/>
        <v>293.33333333333331</v>
      </c>
      <c r="J400" s="85">
        <f t="shared" si="55"/>
        <v>10.032954545454546</v>
      </c>
      <c r="K400" s="79">
        <f t="shared" si="56"/>
        <v>69.359943181818181</v>
      </c>
      <c r="L400" s="87">
        <v>80</v>
      </c>
      <c r="M400" s="79">
        <f t="shared" si="57"/>
        <v>10</v>
      </c>
      <c r="N400" s="79">
        <f t="shared" si="61"/>
        <v>79.359943181818181</v>
      </c>
      <c r="O400" s="78" t="str">
        <f t="shared" si="58"/>
        <v>T70</v>
      </c>
      <c r="P400" s="1" t="b">
        <f t="shared" si="59"/>
        <v>0</v>
      </c>
      <c r="R400" s="43" t="b">
        <v>0</v>
      </c>
      <c r="T400" s="79">
        <f t="shared" si="62"/>
        <v>10</v>
      </c>
      <c r="U400" s="1" t="b">
        <f t="shared" si="60"/>
        <v>0</v>
      </c>
    </row>
    <row r="401" spans="1:21" x14ac:dyDescent="0.45">
      <c r="A401" s="42"/>
      <c r="B401" s="89" t="s">
        <v>218</v>
      </c>
      <c r="C401" s="89" t="s">
        <v>807</v>
      </c>
      <c r="D401" s="84">
        <v>2015</v>
      </c>
      <c r="E401" s="84">
        <v>2016</v>
      </c>
      <c r="F401" s="84">
        <v>2955</v>
      </c>
      <c r="G401" s="84">
        <v>385</v>
      </c>
      <c r="H401" s="84">
        <v>309</v>
      </c>
      <c r="I401" s="85">
        <f t="shared" si="54"/>
        <v>359.66666666666663</v>
      </c>
      <c r="J401" s="85">
        <f t="shared" si="55"/>
        <v>8.215940685820204</v>
      </c>
      <c r="K401" s="79">
        <f t="shared" si="56"/>
        <v>77.08225208526413</v>
      </c>
      <c r="L401" s="85">
        <v>90</v>
      </c>
      <c r="M401" s="79">
        <f t="shared" si="57"/>
        <v>15</v>
      </c>
      <c r="N401" s="85">
        <f t="shared" si="61"/>
        <v>92.08225208526413</v>
      </c>
      <c r="O401" s="78" t="str">
        <f t="shared" si="58"/>
        <v>T90</v>
      </c>
      <c r="P401" s="1" t="b">
        <f t="shared" si="59"/>
        <v>0</v>
      </c>
      <c r="R401" s="43" t="b">
        <v>0</v>
      </c>
      <c r="T401" s="79">
        <f t="shared" si="62"/>
        <v>15</v>
      </c>
      <c r="U401" s="1" t="b">
        <f t="shared" si="60"/>
        <v>0</v>
      </c>
    </row>
    <row r="402" spans="1:21" x14ac:dyDescent="0.45">
      <c r="A402" s="42"/>
      <c r="B402" s="90" t="s">
        <v>218</v>
      </c>
      <c r="C402" s="90" t="s">
        <v>579</v>
      </c>
      <c r="D402" s="86">
        <v>2018</v>
      </c>
      <c r="E402" s="86"/>
      <c r="F402" s="86">
        <v>3031</v>
      </c>
      <c r="G402" s="86">
        <v>365</v>
      </c>
      <c r="H402" s="86">
        <v>309</v>
      </c>
      <c r="I402" s="85">
        <f t="shared" si="54"/>
        <v>346.33333333333331</v>
      </c>
      <c r="J402" s="85">
        <f t="shared" si="55"/>
        <v>8.7516843118383072</v>
      </c>
      <c r="K402" s="79">
        <f t="shared" si="56"/>
        <v>74.805341674687185</v>
      </c>
      <c r="L402" s="87">
        <v>80</v>
      </c>
      <c r="M402" s="79">
        <f t="shared" si="57"/>
        <v>10</v>
      </c>
      <c r="N402" s="79">
        <f t="shared" si="61"/>
        <v>84.805341674687185</v>
      </c>
      <c r="O402" s="78" t="str">
        <f t="shared" si="58"/>
        <v>T80</v>
      </c>
      <c r="P402" s="1" t="b">
        <f t="shared" si="59"/>
        <v>0</v>
      </c>
      <c r="R402" s="43" t="b">
        <v>0</v>
      </c>
      <c r="T402" s="79">
        <f t="shared" si="62"/>
        <v>10</v>
      </c>
      <c r="U402" s="1" t="b">
        <f t="shared" si="60"/>
        <v>0</v>
      </c>
    </row>
    <row r="403" spans="1:21" x14ac:dyDescent="0.45">
      <c r="A403" s="42"/>
      <c r="B403" s="77" t="s">
        <v>218</v>
      </c>
      <c r="C403" s="77" t="s">
        <v>802</v>
      </c>
      <c r="D403" s="78">
        <v>2006</v>
      </c>
      <c r="E403" s="78">
        <v>2008</v>
      </c>
      <c r="F403" s="78">
        <v>2954</v>
      </c>
      <c r="G403" s="78">
        <v>295</v>
      </c>
      <c r="H403" s="78">
        <v>251</v>
      </c>
      <c r="I403" s="79">
        <f t="shared" si="54"/>
        <v>280.33333333333331</v>
      </c>
      <c r="J403" s="79">
        <f t="shared" si="55"/>
        <v>10.537455410225922</v>
      </c>
      <c r="K403" s="79">
        <f t="shared" si="56"/>
        <v>67.215814506539829</v>
      </c>
      <c r="L403" s="79">
        <v>80</v>
      </c>
      <c r="M403" s="79">
        <f t="shared" si="57"/>
        <v>10</v>
      </c>
      <c r="N403" s="79">
        <f t="shared" si="61"/>
        <v>77.215814506539829</v>
      </c>
      <c r="O403" s="78" t="str">
        <f t="shared" si="58"/>
        <v>T70</v>
      </c>
      <c r="P403" s="1" t="b">
        <f t="shared" si="59"/>
        <v>0</v>
      </c>
      <c r="R403" s="43" t="b">
        <v>0</v>
      </c>
      <c r="T403" s="79">
        <f t="shared" si="62"/>
        <v>10</v>
      </c>
      <c r="U403" s="1" t="b">
        <f t="shared" si="60"/>
        <v>0</v>
      </c>
    </row>
    <row r="404" spans="1:21" x14ac:dyDescent="0.45">
      <c r="A404" s="42"/>
      <c r="B404" s="77" t="s">
        <v>218</v>
      </c>
      <c r="C404" s="77" t="s">
        <v>803</v>
      </c>
      <c r="D404" s="78">
        <v>2009</v>
      </c>
      <c r="E404" s="78">
        <v>2012</v>
      </c>
      <c r="F404" s="78">
        <v>2976</v>
      </c>
      <c r="G404" s="78">
        <v>320</v>
      </c>
      <c r="H404" s="78">
        <v>273</v>
      </c>
      <c r="I404" s="79">
        <f t="shared" si="54"/>
        <v>304.33333333333331</v>
      </c>
      <c r="J404" s="79">
        <f t="shared" si="55"/>
        <v>9.7787513691128147</v>
      </c>
      <c r="K404" s="79">
        <f t="shared" si="56"/>
        <v>70.440306681270528</v>
      </c>
      <c r="L404" s="79">
        <v>80</v>
      </c>
      <c r="M404" s="79">
        <f t="shared" si="57"/>
        <v>10</v>
      </c>
      <c r="N404" s="79">
        <f t="shared" si="61"/>
        <v>80.440306681270528</v>
      </c>
      <c r="O404" s="78" t="str">
        <f t="shared" si="58"/>
        <v>T80</v>
      </c>
      <c r="P404" s="1" t="b">
        <f t="shared" si="59"/>
        <v>0</v>
      </c>
      <c r="R404" s="43" t="b">
        <v>0</v>
      </c>
      <c r="T404" s="79">
        <f t="shared" si="62"/>
        <v>10</v>
      </c>
      <c r="U404" s="1" t="b">
        <f t="shared" si="60"/>
        <v>0</v>
      </c>
    </row>
    <row r="405" spans="1:21" x14ac:dyDescent="0.45">
      <c r="A405" s="42"/>
      <c r="B405" s="77" t="s">
        <v>218</v>
      </c>
      <c r="C405" s="77" t="s">
        <v>804</v>
      </c>
      <c r="D405" s="78">
        <v>2014</v>
      </c>
      <c r="E405" s="78">
        <v>2016</v>
      </c>
      <c r="F405" s="78">
        <v>2910</v>
      </c>
      <c r="G405" s="78">
        <v>325</v>
      </c>
      <c r="H405" s="78">
        <v>273</v>
      </c>
      <c r="I405" s="79">
        <f t="shared" si="54"/>
        <v>307.66666666666663</v>
      </c>
      <c r="J405" s="79">
        <f t="shared" si="55"/>
        <v>9.4582881906825573</v>
      </c>
      <c r="K405" s="79">
        <f t="shared" si="56"/>
        <v>71.802275189599129</v>
      </c>
      <c r="L405" s="79">
        <v>80</v>
      </c>
      <c r="M405" s="79">
        <f t="shared" si="57"/>
        <v>10</v>
      </c>
      <c r="N405" s="79">
        <f t="shared" si="61"/>
        <v>81.802275189599129</v>
      </c>
      <c r="O405" s="78" t="str">
        <f t="shared" si="58"/>
        <v>T80</v>
      </c>
      <c r="P405" s="1" t="b">
        <f t="shared" si="59"/>
        <v>0</v>
      </c>
      <c r="R405" s="43" t="b">
        <v>0</v>
      </c>
      <c r="T405" s="79">
        <f t="shared" si="62"/>
        <v>10</v>
      </c>
      <c r="U405" s="1" t="b">
        <f t="shared" si="60"/>
        <v>0</v>
      </c>
    </row>
    <row r="406" spans="1:21" x14ac:dyDescent="0.45">
      <c r="A406" s="42"/>
      <c r="B406" s="90" t="s">
        <v>218</v>
      </c>
      <c r="C406" s="90" t="s">
        <v>805</v>
      </c>
      <c r="D406" s="86">
        <v>2017</v>
      </c>
      <c r="E406" s="86"/>
      <c r="F406" s="86">
        <v>2987</v>
      </c>
      <c r="G406" s="86">
        <v>350</v>
      </c>
      <c r="H406" s="86">
        <v>309</v>
      </c>
      <c r="I406" s="85">
        <f t="shared" si="54"/>
        <v>336.33333333333331</v>
      </c>
      <c r="J406" s="85">
        <f t="shared" si="55"/>
        <v>8.8810703666997028</v>
      </c>
      <c r="K406" s="79">
        <f t="shared" si="56"/>
        <v>74.255450941526263</v>
      </c>
      <c r="L406" s="87">
        <v>80</v>
      </c>
      <c r="M406" s="79">
        <f t="shared" si="57"/>
        <v>10</v>
      </c>
      <c r="N406" s="79">
        <f t="shared" si="61"/>
        <v>84.255450941526263</v>
      </c>
      <c r="O406" s="78" t="str">
        <f t="shared" si="58"/>
        <v>T80</v>
      </c>
      <c r="P406" s="1" t="b">
        <f t="shared" si="59"/>
        <v>0</v>
      </c>
      <c r="R406" s="43" t="b">
        <v>0</v>
      </c>
      <c r="T406" s="79">
        <f t="shared" si="62"/>
        <v>10</v>
      </c>
      <c r="U406" s="1" t="b">
        <f t="shared" si="60"/>
        <v>0</v>
      </c>
    </row>
    <row r="407" spans="1:21" x14ac:dyDescent="0.45">
      <c r="A407" s="42"/>
      <c r="B407" s="89" t="s">
        <v>218</v>
      </c>
      <c r="C407" s="89" t="s">
        <v>569</v>
      </c>
      <c r="D407" s="84">
        <v>2010</v>
      </c>
      <c r="E407" s="84">
        <v>2016</v>
      </c>
      <c r="F407" s="84">
        <v>4343</v>
      </c>
      <c r="G407" s="84">
        <v>500</v>
      </c>
      <c r="H407" s="84">
        <v>516</v>
      </c>
      <c r="I407" s="85">
        <f t="shared" si="54"/>
        <v>505.33333333333331</v>
      </c>
      <c r="J407" s="85">
        <f t="shared" si="55"/>
        <v>8.5943271767810021</v>
      </c>
      <c r="K407" s="79">
        <f t="shared" si="56"/>
        <v>75.474109498680747</v>
      </c>
      <c r="L407" s="85">
        <v>75</v>
      </c>
      <c r="M407" s="79">
        <f t="shared" si="57"/>
        <v>7.5</v>
      </c>
      <c r="N407" s="85">
        <f t="shared" si="61"/>
        <v>82.974109498680747</v>
      </c>
      <c r="O407" s="78" t="str">
        <f t="shared" si="58"/>
        <v>T80</v>
      </c>
      <c r="P407" s="1" t="b">
        <f t="shared" si="59"/>
        <v>0</v>
      </c>
      <c r="R407" s="43" t="b">
        <v>0</v>
      </c>
      <c r="T407" s="79">
        <f t="shared" si="62"/>
        <v>7.5</v>
      </c>
      <c r="U407" s="1" t="b">
        <f t="shared" si="60"/>
        <v>0</v>
      </c>
    </row>
    <row r="408" spans="1:21" x14ac:dyDescent="0.45">
      <c r="A408" s="42"/>
      <c r="B408" s="77" t="s">
        <v>227</v>
      </c>
      <c r="C408" s="77" t="s">
        <v>312</v>
      </c>
      <c r="D408" s="78">
        <v>1990</v>
      </c>
      <c r="E408" s="78">
        <v>1993</v>
      </c>
      <c r="F408" s="78">
        <v>2967</v>
      </c>
      <c r="G408" s="78">
        <v>175</v>
      </c>
      <c r="H408" s="78">
        <v>195</v>
      </c>
      <c r="I408" s="79">
        <f t="shared" si="54"/>
        <v>181.66666666666666</v>
      </c>
      <c r="J408" s="79">
        <f t="shared" si="55"/>
        <v>16.332110091743122</v>
      </c>
      <c r="K408" s="79">
        <f t="shared" si="56"/>
        <v>42.588532110091734</v>
      </c>
      <c r="L408" s="79">
        <v>55</v>
      </c>
      <c r="M408" s="79">
        <f t="shared" si="57"/>
        <v>-2.5</v>
      </c>
      <c r="N408" s="79">
        <f t="shared" si="61"/>
        <v>40.088532110091734</v>
      </c>
      <c r="O408" s="78" t="str">
        <f t="shared" si="58"/>
        <v>T40</v>
      </c>
      <c r="P408" s="1" t="b">
        <f t="shared" si="59"/>
        <v>0</v>
      </c>
      <c r="R408" s="43" t="b">
        <v>0</v>
      </c>
      <c r="T408" s="79">
        <f t="shared" si="62"/>
        <v>-2.5</v>
      </c>
      <c r="U408" s="1" t="b">
        <f t="shared" si="60"/>
        <v>0</v>
      </c>
    </row>
    <row r="409" spans="1:21" x14ac:dyDescent="0.45">
      <c r="A409" s="42"/>
      <c r="B409" s="77" t="s">
        <v>227</v>
      </c>
      <c r="C409" s="77" t="s">
        <v>228</v>
      </c>
      <c r="D409" s="78">
        <v>1993</v>
      </c>
      <c r="E409" s="78">
        <v>1997</v>
      </c>
      <c r="F409" s="78">
        <v>3250</v>
      </c>
      <c r="G409" s="78">
        <v>225</v>
      </c>
      <c r="H409" s="78">
        <v>258</v>
      </c>
      <c r="I409" s="79">
        <f t="shared" si="54"/>
        <v>236</v>
      </c>
      <c r="J409" s="79">
        <f t="shared" si="55"/>
        <v>13.771186440677965</v>
      </c>
      <c r="K409" s="79">
        <f t="shared" si="56"/>
        <v>53.472457627118644</v>
      </c>
      <c r="L409" s="79">
        <v>55</v>
      </c>
      <c r="M409" s="79">
        <f t="shared" si="57"/>
        <v>-2.5</v>
      </c>
      <c r="N409" s="79">
        <f t="shared" si="61"/>
        <v>50.972457627118644</v>
      </c>
      <c r="O409" s="78" t="str">
        <f t="shared" si="58"/>
        <v>T50</v>
      </c>
      <c r="P409" s="1" t="b">
        <f t="shared" si="59"/>
        <v>0</v>
      </c>
      <c r="R409" s="43" t="b">
        <v>0</v>
      </c>
      <c r="T409" s="79">
        <f t="shared" si="62"/>
        <v>-2.5</v>
      </c>
      <c r="U409" s="1" t="b">
        <f t="shared" si="60"/>
        <v>0</v>
      </c>
    </row>
    <row r="410" spans="1:21" x14ac:dyDescent="0.45">
      <c r="A410" s="42"/>
      <c r="B410" s="77" t="s">
        <v>227</v>
      </c>
      <c r="C410" s="77" t="s">
        <v>419</v>
      </c>
      <c r="D410" s="78">
        <v>2002</v>
      </c>
      <c r="E410" s="78">
        <v>2003</v>
      </c>
      <c r="F410" s="78">
        <v>3285</v>
      </c>
      <c r="G410" s="78">
        <v>210</v>
      </c>
      <c r="H410" s="78">
        <v>221</v>
      </c>
      <c r="I410" s="79">
        <f t="shared" si="54"/>
        <v>213.66666666666666</v>
      </c>
      <c r="J410" s="79">
        <f t="shared" si="55"/>
        <v>15.374414976599065</v>
      </c>
      <c r="K410" s="79">
        <f t="shared" si="56"/>
        <v>46.658736349453974</v>
      </c>
      <c r="L410" s="79">
        <v>50</v>
      </c>
      <c r="M410" s="79">
        <f t="shared" si="57"/>
        <v>-5</v>
      </c>
      <c r="N410" s="79">
        <f t="shared" si="61"/>
        <v>41.658736349453974</v>
      </c>
      <c r="O410" s="78" t="str">
        <f t="shared" si="58"/>
        <v>T40</v>
      </c>
      <c r="P410" s="1" t="b">
        <f t="shared" si="59"/>
        <v>0</v>
      </c>
      <c r="R410" s="43" t="b">
        <v>0</v>
      </c>
      <c r="T410" s="79">
        <f t="shared" si="62"/>
        <v>-5</v>
      </c>
      <c r="U410" s="1" t="b">
        <f t="shared" si="60"/>
        <v>0</v>
      </c>
    </row>
    <row r="411" spans="1:21" x14ac:dyDescent="0.45">
      <c r="A411" s="42"/>
      <c r="B411" s="77" t="s">
        <v>227</v>
      </c>
      <c r="C411" s="77" t="s">
        <v>229</v>
      </c>
      <c r="D411" s="78">
        <v>1999</v>
      </c>
      <c r="E411" s="78">
        <v>2002</v>
      </c>
      <c r="F411" s="78">
        <v>2987</v>
      </c>
      <c r="G411" s="78">
        <v>230</v>
      </c>
      <c r="H411" s="78">
        <v>258</v>
      </c>
      <c r="I411" s="79">
        <f t="shared" si="54"/>
        <v>239.33333333333331</v>
      </c>
      <c r="J411" s="79">
        <f t="shared" si="55"/>
        <v>12.480501392757661</v>
      </c>
      <c r="K411" s="79">
        <f t="shared" si="56"/>
        <v>58.957869080779936</v>
      </c>
      <c r="L411" s="79">
        <v>60</v>
      </c>
      <c r="M411" s="79">
        <f t="shared" si="57"/>
        <v>0</v>
      </c>
      <c r="N411" s="79">
        <f t="shared" si="61"/>
        <v>58.957869080779936</v>
      </c>
      <c r="O411" s="78" t="str">
        <f t="shared" si="58"/>
        <v>T50</v>
      </c>
      <c r="P411" s="1" t="b">
        <f t="shared" si="59"/>
        <v>0</v>
      </c>
      <c r="R411" s="43" t="b">
        <v>0</v>
      </c>
      <c r="T411" s="79">
        <f t="shared" si="62"/>
        <v>0</v>
      </c>
      <c r="U411" s="1" t="b">
        <f t="shared" si="60"/>
        <v>0</v>
      </c>
    </row>
    <row r="412" spans="1:21" x14ac:dyDescent="0.45">
      <c r="A412" s="42"/>
      <c r="B412" s="89" t="s">
        <v>227</v>
      </c>
      <c r="C412" s="89" t="s">
        <v>642</v>
      </c>
      <c r="D412" s="84">
        <v>2000</v>
      </c>
      <c r="E412" s="84">
        <v>2002</v>
      </c>
      <c r="F412" s="84">
        <v>3470</v>
      </c>
      <c r="G412" s="84">
        <v>250</v>
      </c>
      <c r="H412" s="84">
        <v>258</v>
      </c>
      <c r="I412" s="85">
        <f t="shared" si="54"/>
        <v>252.66666666666666</v>
      </c>
      <c r="J412" s="85">
        <f t="shared" si="55"/>
        <v>13.733509234828496</v>
      </c>
      <c r="K412" s="79">
        <f t="shared" si="56"/>
        <v>53.632585751978894</v>
      </c>
      <c r="L412" s="85">
        <v>55</v>
      </c>
      <c r="M412" s="79">
        <f t="shared" si="57"/>
        <v>-2.5</v>
      </c>
      <c r="N412" s="85">
        <f t="shared" si="61"/>
        <v>51.132585751978894</v>
      </c>
      <c r="O412" s="78" t="str">
        <f t="shared" si="58"/>
        <v>T50</v>
      </c>
      <c r="P412" s="1" t="b">
        <f t="shared" si="59"/>
        <v>0</v>
      </c>
      <c r="R412" s="43" t="b">
        <v>0</v>
      </c>
      <c r="T412" s="79">
        <f t="shared" si="62"/>
        <v>-2.5</v>
      </c>
      <c r="U412" s="1" t="b">
        <f t="shared" si="60"/>
        <v>0</v>
      </c>
    </row>
    <row r="413" spans="1:21" x14ac:dyDescent="0.45">
      <c r="A413" s="42"/>
      <c r="B413" s="77" t="s">
        <v>227</v>
      </c>
      <c r="C413" s="77" t="s">
        <v>502</v>
      </c>
      <c r="D413" s="78">
        <v>1999</v>
      </c>
      <c r="E413" s="78">
        <v>2003</v>
      </c>
      <c r="F413" s="78">
        <v>3280</v>
      </c>
      <c r="G413" s="78">
        <v>170</v>
      </c>
      <c r="H413" s="78">
        <v>207</v>
      </c>
      <c r="I413" s="79">
        <f t="shared" si="54"/>
        <v>182.33333333333331</v>
      </c>
      <c r="J413" s="79">
        <f t="shared" si="55"/>
        <v>17.989031078610605</v>
      </c>
      <c r="K413" s="79">
        <f t="shared" si="56"/>
        <v>35.546617915904932</v>
      </c>
      <c r="L413" s="79">
        <v>50</v>
      </c>
      <c r="M413" s="79">
        <f t="shared" si="57"/>
        <v>-5</v>
      </c>
      <c r="N413" s="79">
        <f t="shared" si="61"/>
        <v>30.546617915904932</v>
      </c>
      <c r="O413" s="78" t="str">
        <f t="shared" si="58"/>
        <v>T30</v>
      </c>
      <c r="P413" s="1" t="b">
        <f t="shared" si="59"/>
        <v>0</v>
      </c>
      <c r="R413" s="43" t="b">
        <v>0</v>
      </c>
      <c r="T413" s="79">
        <f t="shared" si="62"/>
        <v>-5</v>
      </c>
      <c r="U413" s="1" t="b">
        <f t="shared" si="60"/>
        <v>0</v>
      </c>
    </row>
    <row r="414" spans="1:21" x14ac:dyDescent="0.45">
      <c r="A414" s="42"/>
      <c r="B414" s="77" t="s">
        <v>420</v>
      </c>
      <c r="C414" s="77" t="s">
        <v>421</v>
      </c>
      <c r="D414" s="78">
        <v>2000</v>
      </c>
      <c r="E414" s="78">
        <v>2004</v>
      </c>
      <c r="F414" s="78">
        <v>2750</v>
      </c>
      <c r="G414" s="78">
        <v>500</v>
      </c>
      <c r="H414" s="78">
        <v>525</v>
      </c>
      <c r="I414" s="79">
        <f t="shared" si="54"/>
        <v>508.33333333333331</v>
      </c>
      <c r="J414" s="79">
        <f t="shared" si="55"/>
        <v>5.4098360655737707</v>
      </c>
      <c r="K414" s="79">
        <f t="shared" si="56"/>
        <v>89.008196721311478</v>
      </c>
      <c r="L414" s="79">
        <v>95</v>
      </c>
      <c r="M414" s="79">
        <f t="shared" si="57"/>
        <v>17.5</v>
      </c>
      <c r="N414" s="79">
        <f t="shared" si="61"/>
        <v>106.50819672131148</v>
      </c>
      <c r="O414" s="78" t="str">
        <f t="shared" si="58"/>
        <v>T100</v>
      </c>
      <c r="P414" s="1" t="b">
        <f t="shared" si="59"/>
        <v>0</v>
      </c>
      <c r="R414" s="43" t="b">
        <v>0</v>
      </c>
      <c r="T414" s="79">
        <f t="shared" si="62"/>
        <v>17.5</v>
      </c>
      <c r="U414" s="1" t="b">
        <f t="shared" si="60"/>
        <v>0</v>
      </c>
    </row>
    <row r="415" spans="1:21" x14ac:dyDescent="0.45">
      <c r="A415" s="42"/>
      <c r="B415" s="77" t="s">
        <v>420</v>
      </c>
      <c r="C415" s="77" t="s">
        <v>422</v>
      </c>
      <c r="D415" s="78">
        <v>2005</v>
      </c>
      <c r="E415" s="78">
        <v>2009</v>
      </c>
      <c r="F415" s="78">
        <v>2950</v>
      </c>
      <c r="G415" s="78">
        <v>750</v>
      </c>
      <c r="H415" s="78">
        <v>700</v>
      </c>
      <c r="I415" s="79">
        <f t="shared" si="54"/>
        <v>733.33333333333326</v>
      </c>
      <c r="J415" s="79">
        <f t="shared" si="55"/>
        <v>4.0227272727272734</v>
      </c>
      <c r="K415" s="79">
        <f t="shared" si="56"/>
        <v>94.903409090909093</v>
      </c>
      <c r="L415" s="79">
        <v>95</v>
      </c>
      <c r="M415" s="79">
        <f t="shared" si="57"/>
        <v>17.5</v>
      </c>
      <c r="N415" s="79">
        <f t="shared" si="61"/>
        <v>112.40340909090909</v>
      </c>
      <c r="O415" s="78" t="str">
        <f t="shared" si="58"/>
        <v>T110</v>
      </c>
      <c r="P415" s="1" t="b">
        <f t="shared" si="59"/>
        <v>0</v>
      </c>
      <c r="R415" s="43" t="b">
        <v>0</v>
      </c>
      <c r="T415" s="79">
        <f t="shared" si="62"/>
        <v>17.5</v>
      </c>
      <c r="U415" s="1" t="b">
        <f t="shared" si="60"/>
        <v>0</v>
      </c>
    </row>
    <row r="416" spans="1:21" x14ac:dyDescent="0.45">
      <c r="A416" s="42"/>
      <c r="B416" s="77" t="s">
        <v>315</v>
      </c>
      <c r="C416" s="77" t="s">
        <v>316</v>
      </c>
      <c r="D416" s="84">
        <v>2013</v>
      </c>
      <c r="E416" s="84">
        <v>2016</v>
      </c>
      <c r="F416" s="84">
        <v>2758</v>
      </c>
      <c r="G416" s="84">
        <v>200</v>
      </c>
      <c r="H416" s="78">
        <v>151</v>
      </c>
      <c r="I416" s="79">
        <f t="shared" si="54"/>
        <v>183.66666666666663</v>
      </c>
      <c r="J416" s="79">
        <f t="shared" si="55"/>
        <v>15.016333938294014</v>
      </c>
      <c r="K416" s="79">
        <f t="shared" si="56"/>
        <v>48.180580762250436</v>
      </c>
      <c r="L416" s="79">
        <v>70</v>
      </c>
      <c r="M416" s="79">
        <f t="shared" si="57"/>
        <v>5</v>
      </c>
      <c r="N416" s="85">
        <v>55.1</v>
      </c>
      <c r="O416" s="84" t="str">
        <f t="shared" si="58"/>
        <v>T50</v>
      </c>
      <c r="P416" s="1" t="b">
        <f t="shared" si="59"/>
        <v>0</v>
      </c>
      <c r="R416" s="43" t="b">
        <v>0</v>
      </c>
      <c r="T416" s="79">
        <f t="shared" si="62"/>
        <v>5</v>
      </c>
      <c r="U416" s="1" t="b">
        <f t="shared" si="60"/>
        <v>0</v>
      </c>
    </row>
    <row r="417" spans="1:22" x14ac:dyDescent="0.45">
      <c r="A417" s="42"/>
      <c r="B417" s="77" t="s">
        <v>315</v>
      </c>
      <c r="C417" s="77" t="s">
        <v>504</v>
      </c>
      <c r="D417" s="78">
        <v>2005</v>
      </c>
      <c r="E417" s="78">
        <v>2010</v>
      </c>
      <c r="F417" s="78">
        <v>2970</v>
      </c>
      <c r="G417" s="78">
        <v>160</v>
      </c>
      <c r="H417" s="78">
        <v>163</v>
      </c>
      <c r="I417" s="79">
        <f t="shared" si="54"/>
        <v>161</v>
      </c>
      <c r="J417" s="79">
        <f t="shared" si="55"/>
        <v>18.447204968944099</v>
      </c>
      <c r="K417" s="79">
        <f t="shared" si="56"/>
        <v>33.599378881987576</v>
      </c>
      <c r="L417" s="79">
        <v>60</v>
      </c>
      <c r="M417" s="79">
        <f t="shared" si="57"/>
        <v>0</v>
      </c>
      <c r="N417" s="79">
        <f t="shared" ref="N417:N448" si="63">M417+K417</f>
        <v>33.599378881987576</v>
      </c>
      <c r="O417" s="78" t="str">
        <f t="shared" si="58"/>
        <v>T30</v>
      </c>
      <c r="P417" s="1" t="b">
        <f t="shared" si="59"/>
        <v>0</v>
      </c>
      <c r="R417" s="43" t="b">
        <v>0</v>
      </c>
      <c r="T417" s="79">
        <f t="shared" si="62"/>
        <v>0</v>
      </c>
      <c r="U417" s="1" t="b">
        <f t="shared" si="60"/>
        <v>0</v>
      </c>
    </row>
    <row r="418" spans="1:22" x14ac:dyDescent="0.45">
      <c r="A418" s="42"/>
      <c r="B418" s="77" t="s">
        <v>423</v>
      </c>
      <c r="C418" s="77" t="s">
        <v>424</v>
      </c>
      <c r="D418" s="78">
        <v>2007</v>
      </c>
      <c r="E418" s="78"/>
      <c r="F418" s="78">
        <v>1808</v>
      </c>
      <c r="G418" s="78">
        <v>70</v>
      </c>
      <c r="H418" s="78">
        <v>68</v>
      </c>
      <c r="I418" s="79">
        <f t="shared" si="54"/>
        <v>69.333333333333329</v>
      </c>
      <c r="J418" s="79">
        <f t="shared" si="55"/>
        <v>26.07692307692308</v>
      </c>
      <c r="K418" s="79">
        <f t="shared" si="56"/>
        <v>1.1730769230769056</v>
      </c>
      <c r="L418" s="79">
        <v>40</v>
      </c>
      <c r="M418" s="79">
        <f t="shared" si="57"/>
        <v>-10</v>
      </c>
      <c r="N418" s="79">
        <f t="shared" si="63"/>
        <v>-8.8269230769230944</v>
      </c>
      <c r="O418" s="78" t="str">
        <f t="shared" si="58"/>
        <v>T30</v>
      </c>
      <c r="P418" s="1" t="b">
        <f t="shared" si="59"/>
        <v>0</v>
      </c>
      <c r="R418" s="43" t="b">
        <v>0</v>
      </c>
      <c r="T418" s="79">
        <f t="shared" si="62"/>
        <v>-10</v>
      </c>
      <c r="U418" s="1" t="b">
        <f t="shared" si="60"/>
        <v>0</v>
      </c>
    </row>
    <row r="419" spans="1:22" x14ac:dyDescent="0.45">
      <c r="A419" s="42"/>
      <c r="B419" s="77" t="s">
        <v>230</v>
      </c>
      <c r="C419" s="77" t="s">
        <v>317</v>
      </c>
      <c r="D419" s="78">
        <v>2022</v>
      </c>
      <c r="E419" s="78"/>
      <c r="F419" s="78">
        <v>2815</v>
      </c>
      <c r="G419" s="78">
        <v>228</v>
      </c>
      <c r="H419" s="78">
        <v>184</v>
      </c>
      <c r="I419" s="79">
        <f t="shared" si="54"/>
        <v>213.33333333333331</v>
      </c>
      <c r="J419" s="79">
        <f t="shared" si="55"/>
        <v>13.195312500000002</v>
      </c>
      <c r="K419" s="79">
        <f t="shared" si="56"/>
        <v>55.919921874999993</v>
      </c>
      <c r="L419" s="79">
        <v>78</v>
      </c>
      <c r="M419" s="79">
        <f t="shared" si="57"/>
        <v>9</v>
      </c>
      <c r="N419" s="79">
        <f t="shared" si="63"/>
        <v>64.919921875</v>
      </c>
      <c r="O419" s="78" t="str">
        <f t="shared" si="58"/>
        <v>T60</v>
      </c>
      <c r="P419" s="1" t="b">
        <f t="shared" si="59"/>
        <v>0</v>
      </c>
      <c r="R419" s="43" t="b">
        <v>0</v>
      </c>
      <c r="T419" s="79">
        <f t="shared" si="62"/>
        <v>9</v>
      </c>
      <c r="U419" s="1" t="b">
        <f t="shared" si="60"/>
        <v>0</v>
      </c>
      <c r="V419" s="46"/>
    </row>
    <row r="420" spans="1:22" x14ac:dyDescent="0.45">
      <c r="A420" s="42"/>
      <c r="B420" s="77" t="s">
        <v>230</v>
      </c>
      <c r="C420" s="77" t="s">
        <v>317</v>
      </c>
      <c r="D420" s="78">
        <v>2013</v>
      </c>
      <c r="E420" s="78">
        <v>2017</v>
      </c>
      <c r="F420" s="78">
        <v>2760</v>
      </c>
      <c r="G420" s="78">
        <v>200</v>
      </c>
      <c r="H420" s="78">
        <v>151</v>
      </c>
      <c r="I420" s="79">
        <f t="shared" si="54"/>
        <v>183.66666666666663</v>
      </c>
      <c r="J420" s="79">
        <f t="shared" si="55"/>
        <v>15.027223230490021</v>
      </c>
      <c r="K420" s="79">
        <f t="shared" si="56"/>
        <v>48.13430127041741</v>
      </c>
      <c r="L420" s="79">
        <v>75</v>
      </c>
      <c r="M420" s="79">
        <f t="shared" si="57"/>
        <v>7.5</v>
      </c>
      <c r="N420" s="79">
        <f t="shared" si="63"/>
        <v>55.63430127041741</v>
      </c>
      <c r="O420" s="78" t="str">
        <f t="shared" si="58"/>
        <v>T50</v>
      </c>
      <c r="P420" s="1" t="b">
        <f t="shared" si="59"/>
        <v>0</v>
      </c>
      <c r="R420" s="43" t="b">
        <v>0</v>
      </c>
      <c r="T420" s="79">
        <f t="shared" si="62"/>
        <v>7.5</v>
      </c>
      <c r="U420" s="1" t="b">
        <f t="shared" si="60"/>
        <v>0</v>
      </c>
    </row>
    <row r="421" spans="1:22" x14ac:dyDescent="0.45">
      <c r="A421" s="42"/>
      <c r="B421" s="89" t="s">
        <v>230</v>
      </c>
      <c r="C421" s="89" t="s">
        <v>317</v>
      </c>
      <c r="D421" s="84">
        <v>2017</v>
      </c>
      <c r="E421" s="84">
        <v>2020</v>
      </c>
      <c r="F421" s="84">
        <v>2777</v>
      </c>
      <c r="G421" s="84">
        <v>205</v>
      </c>
      <c r="H421" s="84">
        <v>156</v>
      </c>
      <c r="I421" s="85">
        <f t="shared" si="54"/>
        <v>188.66666666666666</v>
      </c>
      <c r="J421" s="85">
        <f t="shared" si="55"/>
        <v>14.719081272084807</v>
      </c>
      <c r="K421" s="79">
        <f t="shared" si="56"/>
        <v>49.443904593639573</v>
      </c>
      <c r="L421" s="85">
        <v>75</v>
      </c>
      <c r="M421" s="79">
        <f t="shared" si="57"/>
        <v>7.5</v>
      </c>
      <c r="N421" s="85">
        <f t="shared" si="63"/>
        <v>56.943904593639573</v>
      </c>
      <c r="O421" s="78" t="str">
        <f t="shared" si="58"/>
        <v>T50</v>
      </c>
      <c r="P421" s="1" t="b">
        <f t="shared" si="59"/>
        <v>0</v>
      </c>
      <c r="R421" s="43" t="b">
        <v>0</v>
      </c>
      <c r="T421" s="79">
        <f t="shared" si="62"/>
        <v>7.5</v>
      </c>
      <c r="U421" s="1" t="b">
        <f t="shared" si="60"/>
        <v>0</v>
      </c>
    </row>
    <row r="422" spans="1:22" x14ac:dyDescent="0.45">
      <c r="A422" s="42"/>
      <c r="B422" s="89" t="s">
        <v>230</v>
      </c>
      <c r="C422" s="89" t="s">
        <v>637</v>
      </c>
      <c r="D422" s="84">
        <v>2017</v>
      </c>
      <c r="E422" s="84">
        <v>2020</v>
      </c>
      <c r="F422" s="84">
        <v>2777</v>
      </c>
      <c r="G422" s="84">
        <v>205</v>
      </c>
      <c r="H422" s="84">
        <v>156</v>
      </c>
      <c r="I422" s="85">
        <f t="shared" si="54"/>
        <v>188.66666666666666</v>
      </c>
      <c r="J422" s="85">
        <f t="shared" si="55"/>
        <v>14.719081272084807</v>
      </c>
      <c r="K422" s="79">
        <f t="shared" si="56"/>
        <v>49.443904593639573</v>
      </c>
      <c r="L422" s="85">
        <v>78</v>
      </c>
      <c r="M422" s="79">
        <f t="shared" si="57"/>
        <v>9</v>
      </c>
      <c r="N422" s="85">
        <f t="shared" si="63"/>
        <v>58.443904593639573</v>
      </c>
      <c r="O422" s="78" t="str">
        <f t="shared" si="58"/>
        <v>T50</v>
      </c>
      <c r="P422" s="1" t="b">
        <f t="shared" si="59"/>
        <v>0</v>
      </c>
      <c r="R422" s="43" t="b">
        <v>0</v>
      </c>
      <c r="T422" s="79">
        <f t="shared" si="62"/>
        <v>9</v>
      </c>
      <c r="U422" s="1" t="b">
        <f t="shared" si="60"/>
        <v>0</v>
      </c>
    </row>
    <row r="423" spans="1:22" x14ac:dyDescent="0.45">
      <c r="A423" s="42"/>
      <c r="B423" s="77" t="s">
        <v>230</v>
      </c>
      <c r="C423" s="77" t="s">
        <v>231</v>
      </c>
      <c r="D423" s="78">
        <v>1998</v>
      </c>
      <c r="E423" s="78">
        <v>1998</v>
      </c>
      <c r="F423" s="78">
        <v>3040</v>
      </c>
      <c r="G423" s="78">
        <v>165</v>
      </c>
      <c r="H423" s="78">
        <v>162</v>
      </c>
      <c r="I423" s="79">
        <f t="shared" si="54"/>
        <v>164</v>
      </c>
      <c r="J423" s="79">
        <f t="shared" si="55"/>
        <v>18.536585365853657</v>
      </c>
      <c r="K423" s="79">
        <f t="shared" si="56"/>
        <v>33.219512195121951</v>
      </c>
      <c r="L423" s="79">
        <v>35</v>
      </c>
      <c r="M423" s="79">
        <f t="shared" si="57"/>
        <v>-12.5</v>
      </c>
      <c r="N423" s="79">
        <f t="shared" si="63"/>
        <v>20.719512195121951</v>
      </c>
      <c r="O423" s="78" t="str">
        <f t="shared" si="58"/>
        <v>T30</v>
      </c>
      <c r="P423" s="1" t="b">
        <f t="shared" si="59"/>
        <v>0</v>
      </c>
      <c r="R423" s="43" t="b">
        <v>0</v>
      </c>
      <c r="T423" s="79">
        <f t="shared" si="62"/>
        <v>-12.5</v>
      </c>
      <c r="U423" s="1" t="b">
        <f t="shared" si="60"/>
        <v>0</v>
      </c>
    </row>
    <row r="424" spans="1:22" x14ac:dyDescent="0.45">
      <c r="A424" s="42"/>
      <c r="B424" s="77" t="s">
        <v>230</v>
      </c>
      <c r="C424" s="77" t="s">
        <v>232</v>
      </c>
      <c r="D424" s="78">
        <v>2004</v>
      </c>
      <c r="E424" s="78">
        <v>2005</v>
      </c>
      <c r="F424" s="78">
        <v>3270</v>
      </c>
      <c r="G424" s="78">
        <v>210</v>
      </c>
      <c r="H424" s="78">
        <v>235</v>
      </c>
      <c r="I424" s="79">
        <f t="shared" si="54"/>
        <v>218.33333333333331</v>
      </c>
      <c r="J424" s="79">
        <f t="shared" si="55"/>
        <v>14.977099236641223</v>
      </c>
      <c r="K424" s="79">
        <f t="shared" si="56"/>
        <v>48.347328244274806</v>
      </c>
      <c r="L424" s="79">
        <v>50</v>
      </c>
      <c r="M424" s="79">
        <f t="shared" si="57"/>
        <v>-5</v>
      </c>
      <c r="N424" s="79">
        <f t="shared" si="63"/>
        <v>43.347328244274806</v>
      </c>
      <c r="O424" s="78" t="str">
        <f t="shared" si="58"/>
        <v>T40</v>
      </c>
      <c r="P424" s="1" t="b">
        <f t="shared" si="59"/>
        <v>0</v>
      </c>
      <c r="R424" s="43" t="b">
        <v>0</v>
      </c>
      <c r="T424" s="79">
        <f t="shared" si="62"/>
        <v>-5</v>
      </c>
      <c r="U424" s="1" t="b">
        <f t="shared" si="60"/>
        <v>0</v>
      </c>
    </row>
    <row r="425" spans="1:22" x14ac:dyDescent="0.45">
      <c r="A425" s="42"/>
      <c r="B425" s="77" t="s">
        <v>230</v>
      </c>
      <c r="C425" s="77" t="s">
        <v>233</v>
      </c>
      <c r="D425" s="78">
        <v>2000</v>
      </c>
      <c r="E425" s="78">
        <v>2001</v>
      </c>
      <c r="F425" s="78">
        <v>2845</v>
      </c>
      <c r="G425" s="78">
        <v>165</v>
      </c>
      <c r="H425" s="78">
        <v>162</v>
      </c>
      <c r="I425" s="79">
        <f t="shared" si="54"/>
        <v>164</v>
      </c>
      <c r="J425" s="79">
        <f t="shared" si="55"/>
        <v>17.347560975609756</v>
      </c>
      <c r="K425" s="79">
        <f t="shared" si="56"/>
        <v>38.27286585365853</v>
      </c>
      <c r="L425" s="79">
        <v>60</v>
      </c>
      <c r="M425" s="79">
        <f t="shared" si="57"/>
        <v>0</v>
      </c>
      <c r="N425" s="79">
        <f t="shared" si="63"/>
        <v>38.27286585365853</v>
      </c>
      <c r="O425" s="78" t="str">
        <f t="shared" si="58"/>
        <v>T30</v>
      </c>
      <c r="P425" s="1" t="b">
        <f t="shared" si="59"/>
        <v>0</v>
      </c>
      <c r="R425" s="43" t="b">
        <v>0</v>
      </c>
      <c r="T425" s="79">
        <f t="shared" si="62"/>
        <v>0</v>
      </c>
      <c r="U425" s="1" t="b">
        <f t="shared" si="60"/>
        <v>0</v>
      </c>
    </row>
    <row r="426" spans="1:22" x14ac:dyDescent="0.45">
      <c r="A426" s="42"/>
      <c r="B426" s="89" t="s">
        <v>230</v>
      </c>
      <c r="C426" s="89" t="s">
        <v>636</v>
      </c>
      <c r="D426" s="84">
        <v>1998</v>
      </c>
      <c r="E426" s="84"/>
      <c r="F426" s="84">
        <v>2795</v>
      </c>
      <c r="G426" s="84">
        <v>137</v>
      </c>
      <c r="H426" s="84">
        <v>145</v>
      </c>
      <c r="I426" s="85">
        <f t="shared" si="54"/>
        <v>139.66666666666666</v>
      </c>
      <c r="J426" s="85">
        <f t="shared" si="55"/>
        <v>20.011933174224346</v>
      </c>
      <c r="K426" s="79">
        <f t="shared" si="56"/>
        <v>26.949284009546531</v>
      </c>
      <c r="L426" s="85">
        <v>50</v>
      </c>
      <c r="M426" s="79">
        <f t="shared" si="57"/>
        <v>-5</v>
      </c>
      <c r="N426" s="85">
        <f t="shared" si="63"/>
        <v>21.949284009546531</v>
      </c>
      <c r="O426" s="78" t="str">
        <f t="shared" si="58"/>
        <v>T30</v>
      </c>
      <c r="P426" s="1" t="b">
        <f t="shared" si="59"/>
        <v>0</v>
      </c>
      <c r="R426" s="43" t="b">
        <v>0</v>
      </c>
      <c r="T426" s="79">
        <f t="shared" si="62"/>
        <v>-5</v>
      </c>
      <c r="U426" s="1" t="b">
        <f t="shared" si="60"/>
        <v>0</v>
      </c>
    </row>
    <row r="427" spans="1:22" x14ac:dyDescent="0.45">
      <c r="A427" s="42"/>
      <c r="B427" s="89" t="s">
        <v>230</v>
      </c>
      <c r="C427" s="89" t="s">
        <v>641</v>
      </c>
      <c r="D427" s="84">
        <v>2017</v>
      </c>
      <c r="E427" s="84"/>
      <c r="F427" s="84">
        <v>3015</v>
      </c>
      <c r="G427" s="84">
        <v>152</v>
      </c>
      <c r="H427" s="84">
        <v>145</v>
      </c>
      <c r="I427" s="85">
        <f t="shared" si="54"/>
        <v>149.66666666666666</v>
      </c>
      <c r="J427" s="85">
        <f t="shared" si="55"/>
        <v>20.144766146993319</v>
      </c>
      <c r="K427" s="79">
        <f t="shared" si="56"/>
        <v>26.384743875278389</v>
      </c>
      <c r="L427" s="85">
        <v>60</v>
      </c>
      <c r="M427" s="79">
        <f t="shared" si="57"/>
        <v>0</v>
      </c>
      <c r="N427" s="85">
        <f t="shared" si="63"/>
        <v>26.384743875278389</v>
      </c>
      <c r="O427" s="78" t="str">
        <f t="shared" si="58"/>
        <v>T30</v>
      </c>
      <c r="P427" s="1" t="b">
        <f t="shared" si="59"/>
        <v>0</v>
      </c>
      <c r="R427" s="43" t="b">
        <v>0</v>
      </c>
      <c r="T427" s="79">
        <f t="shared" si="62"/>
        <v>0</v>
      </c>
      <c r="U427" s="1" t="b">
        <f t="shared" si="60"/>
        <v>0</v>
      </c>
    </row>
    <row r="428" spans="1:22" x14ac:dyDescent="0.45">
      <c r="A428" s="42"/>
      <c r="B428" s="77" t="s">
        <v>230</v>
      </c>
      <c r="C428" s="77" t="s">
        <v>234</v>
      </c>
      <c r="D428" s="78">
        <v>2022</v>
      </c>
      <c r="E428" s="78"/>
      <c r="F428" s="78">
        <v>3525</v>
      </c>
      <c r="G428" s="78">
        <v>271</v>
      </c>
      <c r="H428" s="78">
        <v>258</v>
      </c>
      <c r="I428" s="79">
        <f t="shared" si="54"/>
        <v>266.66666666666663</v>
      </c>
      <c r="J428" s="79">
        <f t="shared" si="55"/>
        <v>13.218750000000002</v>
      </c>
      <c r="K428" s="79">
        <f t="shared" si="56"/>
        <v>55.820312499999993</v>
      </c>
      <c r="L428" s="79">
        <v>72.5</v>
      </c>
      <c r="M428" s="79">
        <f t="shared" si="57"/>
        <v>6.25</v>
      </c>
      <c r="N428" s="79">
        <f t="shared" si="63"/>
        <v>62.070312499999993</v>
      </c>
      <c r="O428" s="78" t="str">
        <f t="shared" si="58"/>
        <v>T60</v>
      </c>
      <c r="P428" s="1" t="b">
        <f t="shared" si="59"/>
        <v>0</v>
      </c>
      <c r="R428" s="43" t="b">
        <v>0</v>
      </c>
      <c r="T428" s="79">
        <f t="shared" si="62"/>
        <v>6.25</v>
      </c>
      <c r="U428" s="1" t="b">
        <f t="shared" si="60"/>
        <v>0</v>
      </c>
      <c r="V428" s="46"/>
    </row>
    <row r="429" spans="1:22" x14ac:dyDescent="0.45">
      <c r="A429" s="42"/>
      <c r="B429" s="77" t="s">
        <v>230</v>
      </c>
      <c r="C429" s="77" t="s">
        <v>234</v>
      </c>
      <c r="D429" s="78">
        <v>2002</v>
      </c>
      <c r="E429" s="78">
        <v>2005</v>
      </c>
      <c r="F429" s="78">
        <v>3085</v>
      </c>
      <c r="G429" s="78">
        <v>227</v>
      </c>
      <c r="H429" s="78">
        <v>217</v>
      </c>
      <c r="I429" s="79">
        <f t="shared" si="54"/>
        <v>223.66666666666663</v>
      </c>
      <c r="J429" s="79">
        <f t="shared" si="55"/>
        <v>13.792846497764533</v>
      </c>
      <c r="K429" s="79">
        <f t="shared" si="56"/>
        <v>53.380402384500734</v>
      </c>
      <c r="L429" s="79">
        <v>60</v>
      </c>
      <c r="M429" s="79">
        <f t="shared" si="57"/>
        <v>0</v>
      </c>
      <c r="N429" s="79">
        <f t="shared" si="63"/>
        <v>53.380402384500734</v>
      </c>
      <c r="O429" s="78" t="str">
        <f t="shared" si="58"/>
        <v>T50</v>
      </c>
      <c r="P429" s="1" t="b">
        <f t="shared" si="59"/>
        <v>0</v>
      </c>
      <c r="R429" s="43" t="b">
        <v>0</v>
      </c>
      <c r="T429" s="79">
        <f t="shared" si="62"/>
        <v>0</v>
      </c>
      <c r="U429" s="1" t="b">
        <f t="shared" si="60"/>
        <v>0</v>
      </c>
    </row>
    <row r="430" spans="1:22" x14ac:dyDescent="0.45">
      <c r="A430" s="42"/>
      <c r="B430" s="77" t="s">
        <v>230</v>
      </c>
      <c r="C430" s="77" t="s">
        <v>234</v>
      </c>
      <c r="D430" s="78">
        <v>2008</v>
      </c>
      <c r="E430" s="78">
        <v>2008</v>
      </c>
      <c r="F430" s="78">
        <v>3142</v>
      </c>
      <c r="G430" s="78">
        <v>224</v>
      </c>
      <c r="H430" s="78">
        <v>226</v>
      </c>
      <c r="I430" s="79">
        <f t="shared" si="54"/>
        <v>224.66666666666663</v>
      </c>
      <c r="J430" s="79">
        <f t="shared" si="55"/>
        <v>13.985163204747776</v>
      </c>
      <c r="K430" s="79">
        <f t="shared" si="56"/>
        <v>52.563056379821951</v>
      </c>
      <c r="L430" s="79">
        <v>60</v>
      </c>
      <c r="M430" s="79">
        <f t="shared" si="57"/>
        <v>0</v>
      </c>
      <c r="N430" s="79">
        <f t="shared" si="63"/>
        <v>52.563056379821951</v>
      </c>
      <c r="O430" s="78" t="str">
        <f t="shared" si="58"/>
        <v>T50</v>
      </c>
      <c r="P430" s="1" t="b">
        <f t="shared" si="59"/>
        <v>0</v>
      </c>
      <c r="R430" s="43" t="b">
        <v>0</v>
      </c>
      <c r="T430" s="79">
        <f t="shared" si="62"/>
        <v>0</v>
      </c>
      <c r="U430" s="1" t="b">
        <f t="shared" si="60"/>
        <v>0</v>
      </c>
    </row>
    <row r="431" spans="1:22" x14ac:dyDescent="0.45">
      <c r="A431" s="42"/>
      <c r="B431" s="77" t="s">
        <v>230</v>
      </c>
      <c r="C431" s="77" t="s">
        <v>234</v>
      </c>
      <c r="D431" s="78">
        <v>2011</v>
      </c>
      <c r="E431" s="78">
        <v>2014</v>
      </c>
      <c r="F431" s="78">
        <v>3208</v>
      </c>
      <c r="G431" s="78">
        <v>265</v>
      </c>
      <c r="H431" s="78">
        <v>244</v>
      </c>
      <c r="I431" s="79">
        <f t="shared" si="54"/>
        <v>258</v>
      </c>
      <c r="J431" s="79">
        <f t="shared" si="55"/>
        <v>12.434108527131784</v>
      </c>
      <c r="K431" s="79">
        <f t="shared" si="56"/>
        <v>59.155038759689916</v>
      </c>
      <c r="L431" s="79">
        <v>65</v>
      </c>
      <c r="M431" s="79">
        <f t="shared" si="57"/>
        <v>2.5</v>
      </c>
      <c r="N431" s="79">
        <f t="shared" si="63"/>
        <v>61.655038759689916</v>
      </c>
      <c r="O431" s="78" t="str">
        <f t="shared" si="58"/>
        <v>T60</v>
      </c>
      <c r="P431" s="1" t="b">
        <f t="shared" si="59"/>
        <v>0</v>
      </c>
      <c r="R431" s="43" t="b">
        <v>0</v>
      </c>
      <c r="T431" s="79">
        <f t="shared" si="62"/>
        <v>2.5</v>
      </c>
      <c r="U431" s="1" t="b">
        <f t="shared" si="60"/>
        <v>0</v>
      </c>
    </row>
    <row r="432" spans="1:22" x14ac:dyDescent="0.45">
      <c r="A432" s="42"/>
      <c r="B432" s="77" t="s">
        <v>230</v>
      </c>
      <c r="C432" s="77" t="s">
        <v>234</v>
      </c>
      <c r="D432" s="78">
        <v>2015</v>
      </c>
      <c r="E432" s="78">
        <v>2021</v>
      </c>
      <c r="F432" s="78">
        <v>3364</v>
      </c>
      <c r="G432" s="78">
        <v>268</v>
      </c>
      <c r="H432" s="78">
        <v>258</v>
      </c>
      <c r="I432" s="79">
        <f t="shared" si="54"/>
        <v>264.66666666666663</v>
      </c>
      <c r="J432" s="79">
        <f t="shared" si="55"/>
        <v>12.710327455919398</v>
      </c>
      <c r="K432" s="79">
        <f t="shared" si="56"/>
        <v>57.981108312342556</v>
      </c>
      <c r="L432" s="79">
        <v>70</v>
      </c>
      <c r="M432" s="79">
        <f t="shared" si="57"/>
        <v>5</v>
      </c>
      <c r="N432" s="79">
        <f t="shared" si="63"/>
        <v>62.981108312342556</v>
      </c>
      <c r="O432" s="78" t="str">
        <f t="shared" si="58"/>
        <v>T60</v>
      </c>
      <c r="P432" s="1" t="b">
        <f t="shared" si="59"/>
        <v>0</v>
      </c>
      <c r="R432" s="43" t="b">
        <v>0</v>
      </c>
      <c r="T432" s="79">
        <f t="shared" si="62"/>
        <v>5</v>
      </c>
      <c r="U432" s="1" t="b">
        <f t="shared" si="60"/>
        <v>0</v>
      </c>
    </row>
    <row r="433" spans="1:22" x14ac:dyDescent="0.45">
      <c r="A433" s="42"/>
      <c r="B433" s="77" t="s">
        <v>230</v>
      </c>
      <c r="C433" s="77" t="s">
        <v>235</v>
      </c>
      <c r="D433" s="78">
        <v>2004</v>
      </c>
      <c r="E433" s="78">
        <v>2004</v>
      </c>
      <c r="F433" s="78">
        <v>3263</v>
      </c>
      <c r="G433" s="78">
        <v>300</v>
      </c>
      <c r="H433" s="78">
        <v>300</v>
      </c>
      <c r="I433" s="79">
        <f t="shared" si="54"/>
        <v>300</v>
      </c>
      <c r="J433" s="79">
        <f t="shared" si="55"/>
        <v>10.876666666666667</v>
      </c>
      <c r="K433" s="79">
        <f t="shared" si="56"/>
        <v>65.774166666666673</v>
      </c>
      <c r="L433" s="79">
        <v>80</v>
      </c>
      <c r="M433" s="79">
        <f t="shared" si="57"/>
        <v>10</v>
      </c>
      <c r="N433" s="79">
        <f t="shared" si="63"/>
        <v>75.774166666666673</v>
      </c>
      <c r="O433" s="78" t="str">
        <f t="shared" si="58"/>
        <v>T70</v>
      </c>
      <c r="P433" s="1" t="b">
        <f t="shared" si="59"/>
        <v>0</v>
      </c>
      <c r="R433" s="43" t="b">
        <v>0</v>
      </c>
      <c r="T433" s="79">
        <f t="shared" si="62"/>
        <v>10</v>
      </c>
      <c r="U433" s="1" t="b">
        <f t="shared" si="60"/>
        <v>0</v>
      </c>
    </row>
    <row r="434" spans="1:22" x14ac:dyDescent="0.45">
      <c r="A434" s="42"/>
      <c r="B434" s="77" t="s">
        <v>230</v>
      </c>
      <c r="C434" s="77" t="s">
        <v>236</v>
      </c>
      <c r="D434" s="78">
        <v>2005</v>
      </c>
      <c r="E434" s="78">
        <v>2005</v>
      </c>
      <c r="F434" s="78">
        <v>3298</v>
      </c>
      <c r="G434" s="78">
        <v>300</v>
      </c>
      <c r="H434" s="78">
        <v>300</v>
      </c>
      <c r="I434" s="79">
        <f t="shared" si="54"/>
        <v>300</v>
      </c>
      <c r="J434" s="79">
        <f t="shared" si="55"/>
        <v>10.993333333333334</v>
      </c>
      <c r="K434" s="79">
        <f t="shared" si="56"/>
        <v>65.278333333333336</v>
      </c>
      <c r="L434" s="79">
        <v>80</v>
      </c>
      <c r="M434" s="79">
        <f t="shared" si="57"/>
        <v>10</v>
      </c>
      <c r="N434" s="79">
        <f t="shared" si="63"/>
        <v>75.278333333333336</v>
      </c>
      <c r="O434" s="78" t="str">
        <f t="shared" si="58"/>
        <v>T70</v>
      </c>
      <c r="P434" s="1" t="b">
        <f t="shared" si="59"/>
        <v>0</v>
      </c>
      <c r="R434" s="43" t="b">
        <v>0</v>
      </c>
      <c r="T434" s="79">
        <f t="shared" si="62"/>
        <v>10</v>
      </c>
      <c r="U434" s="1" t="b">
        <f t="shared" si="60"/>
        <v>0</v>
      </c>
    </row>
    <row r="435" spans="1:22" x14ac:dyDescent="0.45">
      <c r="A435" s="42"/>
      <c r="B435" s="77" t="s">
        <v>230</v>
      </c>
      <c r="C435" s="77" t="s">
        <v>236</v>
      </c>
      <c r="D435" s="78">
        <v>2006</v>
      </c>
      <c r="E435" s="78">
        <v>2006</v>
      </c>
      <c r="F435" s="78">
        <v>3351</v>
      </c>
      <c r="G435" s="78">
        <v>300</v>
      </c>
      <c r="H435" s="78">
        <v>300</v>
      </c>
      <c r="I435" s="79">
        <f t="shared" si="54"/>
        <v>300</v>
      </c>
      <c r="J435" s="79">
        <f t="shared" si="55"/>
        <v>11.17</v>
      </c>
      <c r="K435" s="79">
        <f t="shared" si="56"/>
        <v>64.527500000000003</v>
      </c>
      <c r="L435" s="79">
        <v>80</v>
      </c>
      <c r="M435" s="79">
        <f t="shared" si="57"/>
        <v>10</v>
      </c>
      <c r="N435" s="79">
        <f t="shared" si="63"/>
        <v>74.527500000000003</v>
      </c>
      <c r="O435" s="78" t="str">
        <f t="shared" si="58"/>
        <v>T70</v>
      </c>
      <c r="P435" s="1" t="b">
        <f t="shared" si="59"/>
        <v>0</v>
      </c>
      <c r="R435" s="43" t="b">
        <v>0</v>
      </c>
      <c r="T435" s="79">
        <f t="shared" si="62"/>
        <v>10</v>
      </c>
      <c r="U435" s="1" t="b">
        <f t="shared" si="60"/>
        <v>0</v>
      </c>
    </row>
    <row r="436" spans="1:22" x14ac:dyDescent="0.45">
      <c r="A436" s="42"/>
      <c r="B436" s="77" t="s">
        <v>230</v>
      </c>
      <c r="C436" s="77" t="s">
        <v>235</v>
      </c>
      <c r="D436" s="78">
        <v>2008</v>
      </c>
      <c r="E436" s="78">
        <v>2014</v>
      </c>
      <c r="F436" s="78">
        <v>3384</v>
      </c>
      <c r="G436" s="78">
        <v>305</v>
      </c>
      <c r="H436" s="78">
        <v>290</v>
      </c>
      <c r="I436" s="79">
        <f t="shared" si="54"/>
        <v>300</v>
      </c>
      <c r="J436" s="79">
        <f t="shared" si="55"/>
        <v>11.28</v>
      </c>
      <c r="K436" s="79">
        <f t="shared" si="56"/>
        <v>64.06</v>
      </c>
      <c r="L436" s="79">
        <v>80</v>
      </c>
      <c r="M436" s="79">
        <f t="shared" si="57"/>
        <v>10</v>
      </c>
      <c r="N436" s="79">
        <f t="shared" si="63"/>
        <v>74.06</v>
      </c>
      <c r="O436" s="78" t="str">
        <f t="shared" si="58"/>
        <v>T70</v>
      </c>
      <c r="P436" s="1" t="b">
        <f t="shared" si="59"/>
        <v>0</v>
      </c>
      <c r="R436" s="43" t="b">
        <v>0</v>
      </c>
      <c r="T436" s="79">
        <f t="shared" si="62"/>
        <v>10</v>
      </c>
      <c r="U436" s="1" t="b">
        <f t="shared" si="60"/>
        <v>0</v>
      </c>
    </row>
    <row r="437" spans="1:22" x14ac:dyDescent="0.45">
      <c r="A437" s="42"/>
      <c r="B437" s="89" t="s">
        <v>230</v>
      </c>
      <c r="C437" s="77" t="s">
        <v>235</v>
      </c>
      <c r="D437" s="84">
        <v>2015</v>
      </c>
      <c r="E437" s="84">
        <v>2018</v>
      </c>
      <c r="F437" s="84">
        <v>3386</v>
      </c>
      <c r="G437" s="84">
        <v>305</v>
      </c>
      <c r="H437" s="84">
        <v>290</v>
      </c>
      <c r="I437" s="85">
        <f t="shared" si="54"/>
        <v>300</v>
      </c>
      <c r="J437" s="85">
        <f t="shared" si="55"/>
        <v>11.286666666666667</v>
      </c>
      <c r="K437" s="79">
        <f t="shared" si="56"/>
        <v>64.031666666666666</v>
      </c>
      <c r="L437" s="85">
        <v>80</v>
      </c>
      <c r="M437" s="79">
        <f t="shared" si="57"/>
        <v>10</v>
      </c>
      <c r="N437" s="85">
        <f t="shared" si="63"/>
        <v>74.031666666666666</v>
      </c>
      <c r="O437" s="78" t="str">
        <f t="shared" si="58"/>
        <v>T70</v>
      </c>
      <c r="P437" s="1" t="b">
        <f t="shared" si="59"/>
        <v>0</v>
      </c>
      <c r="R437" s="43" t="b">
        <v>0</v>
      </c>
      <c r="T437" s="79">
        <f t="shared" si="62"/>
        <v>10</v>
      </c>
      <c r="U437" s="1" t="b">
        <f t="shared" si="60"/>
        <v>0</v>
      </c>
    </row>
    <row r="438" spans="1:22" x14ac:dyDescent="0.45">
      <c r="A438" s="42"/>
      <c r="B438" s="77" t="s">
        <v>230</v>
      </c>
      <c r="C438" s="77" t="s">
        <v>237</v>
      </c>
      <c r="D438" s="78">
        <v>1994</v>
      </c>
      <c r="E438" s="78">
        <v>1999</v>
      </c>
      <c r="F438" s="78">
        <v>3130</v>
      </c>
      <c r="G438" s="78">
        <v>165</v>
      </c>
      <c r="H438" s="78">
        <v>162</v>
      </c>
      <c r="I438" s="79">
        <f t="shared" si="54"/>
        <v>164</v>
      </c>
      <c r="J438" s="79">
        <f t="shared" si="55"/>
        <v>19.085365853658537</v>
      </c>
      <c r="K438" s="79">
        <f t="shared" si="56"/>
        <v>30.887195121951223</v>
      </c>
      <c r="L438" s="79">
        <v>50</v>
      </c>
      <c r="M438" s="79">
        <f t="shared" si="57"/>
        <v>-5</v>
      </c>
      <c r="N438" s="79">
        <f t="shared" si="63"/>
        <v>25.887195121951223</v>
      </c>
      <c r="O438" s="78" t="str">
        <f t="shared" si="58"/>
        <v>T30</v>
      </c>
      <c r="P438" s="1" t="b">
        <f t="shared" si="59"/>
        <v>0</v>
      </c>
      <c r="R438" s="43" t="b">
        <v>0</v>
      </c>
      <c r="T438" s="79">
        <f t="shared" si="62"/>
        <v>-5</v>
      </c>
      <c r="U438" s="1" t="b">
        <f t="shared" si="60"/>
        <v>0</v>
      </c>
    </row>
    <row r="439" spans="1:22" x14ac:dyDescent="0.45">
      <c r="A439" s="42"/>
      <c r="B439" s="77" t="s">
        <v>230</v>
      </c>
      <c r="C439" s="77" t="s">
        <v>238</v>
      </c>
      <c r="D439" s="78">
        <v>2006</v>
      </c>
      <c r="E439" s="78">
        <v>2006</v>
      </c>
      <c r="F439" s="78">
        <v>3400</v>
      </c>
      <c r="G439" s="78">
        <v>250</v>
      </c>
      <c r="H439" s="78">
        <v>250</v>
      </c>
      <c r="I439" s="79">
        <f t="shared" si="54"/>
        <v>250</v>
      </c>
      <c r="J439" s="79">
        <f t="shared" si="55"/>
        <v>13.6</v>
      </c>
      <c r="K439" s="79">
        <f t="shared" si="56"/>
        <v>54.2</v>
      </c>
      <c r="L439" s="79">
        <v>55</v>
      </c>
      <c r="M439" s="79">
        <f t="shared" si="57"/>
        <v>-2.5</v>
      </c>
      <c r="N439" s="79">
        <f t="shared" si="63"/>
        <v>51.7</v>
      </c>
      <c r="O439" s="78" t="str">
        <f t="shared" si="58"/>
        <v>T50</v>
      </c>
      <c r="P439" s="1" t="b">
        <f t="shared" si="59"/>
        <v>0</v>
      </c>
      <c r="R439" s="43" t="b">
        <v>0</v>
      </c>
      <c r="T439" s="79">
        <f t="shared" si="62"/>
        <v>-2.5</v>
      </c>
      <c r="U439" s="1" t="b">
        <f t="shared" si="60"/>
        <v>0</v>
      </c>
    </row>
    <row r="440" spans="1:22" x14ac:dyDescent="0.45">
      <c r="A440" s="42"/>
      <c r="B440" s="89" t="s">
        <v>425</v>
      </c>
      <c r="C440" s="89" t="s">
        <v>644</v>
      </c>
      <c r="D440" s="84">
        <v>2018</v>
      </c>
      <c r="E440" s="84"/>
      <c r="F440" s="84">
        <v>3838</v>
      </c>
      <c r="G440" s="84">
        <v>271</v>
      </c>
      <c r="H440" s="84">
        <v>307</v>
      </c>
      <c r="I440" s="85">
        <f t="shared" si="54"/>
        <v>283</v>
      </c>
      <c r="J440" s="85">
        <f t="shared" si="55"/>
        <v>13.561837455830389</v>
      </c>
      <c r="K440" s="79">
        <f t="shared" si="56"/>
        <v>54.362190812720847</v>
      </c>
      <c r="L440" s="85">
        <v>65</v>
      </c>
      <c r="M440" s="79">
        <f t="shared" si="57"/>
        <v>2.5</v>
      </c>
      <c r="N440" s="85">
        <f t="shared" si="63"/>
        <v>56.862190812720847</v>
      </c>
      <c r="O440" s="78" t="str">
        <f t="shared" si="58"/>
        <v>T50</v>
      </c>
      <c r="P440" s="1" t="b">
        <f t="shared" si="59"/>
        <v>0</v>
      </c>
      <c r="R440" s="43" t="b">
        <v>0</v>
      </c>
      <c r="T440" s="79">
        <f t="shared" si="62"/>
        <v>2.5</v>
      </c>
      <c r="U440" s="1" t="b">
        <f t="shared" si="60"/>
        <v>0</v>
      </c>
    </row>
    <row r="441" spans="1:22" x14ac:dyDescent="0.45">
      <c r="A441" s="42"/>
      <c r="B441" s="77" t="s">
        <v>425</v>
      </c>
      <c r="C441" s="77" t="s">
        <v>426</v>
      </c>
      <c r="D441" s="78">
        <v>2008</v>
      </c>
      <c r="E441" s="78">
        <v>2012</v>
      </c>
      <c r="F441" s="78">
        <v>2723</v>
      </c>
      <c r="G441" s="78">
        <v>288</v>
      </c>
      <c r="H441" s="78">
        <v>295</v>
      </c>
      <c r="I441" s="79">
        <f t="shared" si="54"/>
        <v>290.33333333333331</v>
      </c>
      <c r="J441" s="79">
        <f t="shared" si="55"/>
        <v>9.3788748564867976</v>
      </c>
      <c r="K441" s="79">
        <f t="shared" si="56"/>
        <v>72.139781859931105</v>
      </c>
      <c r="L441" s="79">
        <v>75</v>
      </c>
      <c r="M441" s="79">
        <f t="shared" si="57"/>
        <v>7.5</v>
      </c>
      <c r="N441" s="79">
        <f t="shared" si="63"/>
        <v>79.639781859931105</v>
      </c>
      <c r="O441" s="78" t="str">
        <f t="shared" si="58"/>
        <v>T70</v>
      </c>
      <c r="P441" s="1" t="b">
        <f t="shared" si="59"/>
        <v>0</v>
      </c>
      <c r="R441" s="43" t="b">
        <v>0</v>
      </c>
      <c r="T441" s="79">
        <f t="shared" si="62"/>
        <v>7.5</v>
      </c>
      <c r="U441" s="1" t="b">
        <f t="shared" si="60"/>
        <v>0</v>
      </c>
    </row>
    <row r="442" spans="1:22" x14ac:dyDescent="0.45">
      <c r="A442" s="42"/>
      <c r="B442" s="77" t="s">
        <v>239</v>
      </c>
      <c r="C442" s="135" t="s">
        <v>806</v>
      </c>
      <c r="D442" s="78">
        <v>2023</v>
      </c>
      <c r="E442" s="78">
        <v>2023</v>
      </c>
      <c r="F442" s="78">
        <v>2850</v>
      </c>
      <c r="G442" s="78">
        <v>134</v>
      </c>
      <c r="H442" s="78">
        <v>156</v>
      </c>
      <c r="I442" s="79">
        <f t="shared" si="54"/>
        <v>141.33333333333331</v>
      </c>
      <c r="J442" s="79">
        <f t="shared" si="55"/>
        <v>20.165094339622645</v>
      </c>
      <c r="K442" s="79">
        <f t="shared" si="56"/>
        <v>26.298349056603755</v>
      </c>
      <c r="L442" s="79">
        <v>55</v>
      </c>
      <c r="M442" s="79">
        <f t="shared" si="57"/>
        <v>-2.5</v>
      </c>
      <c r="N442" s="79">
        <f t="shared" si="63"/>
        <v>23.798349056603755</v>
      </c>
      <c r="O442" s="78" t="str">
        <f t="shared" si="58"/>
        <v>T30</v>
      </c>
      <c r="P442" s="1" t="b">
        <f t="shared" si="59"/>
        <v>0</v>
      </c>
      <c r="R442" s="43" t="b">
        <v>0</v>
      </c>
      <c r="T442" s="79">
        <v>-2.5</v>
      </c>
      <c r="U442" s="1" t="b">
        <f t="shared" si="60"/>
        <v>0</v>
      </c>
      <c r="V442" s="46"/>
    </row>
    <row r="443" spans="1:22" x14ac:dyDescent="0.45">
      <c r="A443" s="42"/>
      <c r="B443" s="77" t="s">
        <v>239</v>
      </c>
      <c r="C443" s="77">
        <v>86</v>
      </c>
      <c r="D443" s="78">
        <v>2022</v>
      </c>
      <c r="E443" s="78"/>
      <c r="F443" s="78">
        <v>2815</v>
      </c>
      <c r="G443" s="78">
        <v>228</v>
      </c>
      <c r="H443" s="78">
        <v>184</v>
      </c>
      <c r="I443" s="79">
        <f t="shared" si="54"/>
        <v>213.33333333333331</v>
      </c>
      <c r="J443" s="79">
        <f t="shared" si="55"/>
        <v>13.195312500000002</v>
      </c>
      <c r="K443" s="79">
        <f t="shared" si="56"/>
        <v>55.919921874999993</v>
      </c>
      <c r="L443" s="79">
        <v>75</v>
      </c>
      <c r="M443" s="79">
        <f t="shared" si="57"/>
        <v>7.5</v>
      </c>
      <c r="N443" s="79">
        <f t="shared" si="63"/>
        <v>63.419921874999993</v>
      </c>
      <c r="O443" s="78" t="str">
        <f t="shared" si="58"/>
        <v>T60</v>
      </c>
      <c r="P443" s="1" t="b">
        <f t="shared" si="59"/>
        <v>0</v>
      </c>
      <c r="R443" s="43" t="b">
        <v>0</v>
      </c>
      <c r="T443" s="79">
        <f t="shared" ref="T443:T486" si="64">(L443-60)/3*1.5</f>
        <v>7.5</v>
      </c>
      <c r="U443" s="1" t="b">
        <f t="shared" si="60"/>
        <v>0</v>
      </c>
      <c r="V443" s="46"/>
    </row>
    <row r="444" spans="1:22" x14ac:dyDescent="0.45">
      <c r="A444" s="42"/>
      <c r="B444" s="89" t="s">
        <v>239</v>
      </c>
      <c r="C444" s="89">
        <v>86</v>
      </c>
      <c r="D444" s="84">
        <v>2017</v>
      </c>
      <c r="E444" s="84">
        <v>2020</v>
      </c>
      <c r="F444" s="84">
        <v>2777</v>
      </c>
      <c r="G444" s="84">
        <v>205</v>
      </c>
      <c r="H444" s="84">
        <v>156</v>
      </c>
      <c r="I444" s="85">
        <f t="shared" si="54"/>
        <v>188.66666666666666</v>
      </c>
      <c r="J444" s="85">
        <f t="shared" si="55"/>
        <v>14.719081272084807</v>
      </c>
      <c r="K444" s="79">
        <f t="shared" si="56"/>
        <v>49.443904593639573</v>
      </c>
      <c r="L444" s="85">
        <v>75</v>
      </c>
      <c r="M444" s="79">
        <f t="shared" si="57"/>
        <v>7.5</v>
      </c>
      <c r="N444" s="85">
        <f t="shared" si="63"/>
        <v>56.943904593639573</v>
      </c>
      <c r="O444" s="84" t="str">
        <f t="shared" si="58"/>
        <v>T50</v>
      </c>
      <c r="P444" s="1" t="b">
        <f t="shared" si="59"/>
        <v>0</v>
      </c>
      <c r="R444" s="43" t="b">
        <v>0</v>
      </c>
      <c r="T444" s="79">
        <f t="shared" si="64"/>
        <v>7.5</v>
      </c>
      <c r="U444" s="1" t="b">
        <f t="shared" si="60"/>
        <v>0</v>
      </c>
    </row>
    <row r="445" spans="1:22" x14ac:dyDescent="0.45">
      <c r="A445" s="42"/>
      <c r="B445" s="89" t="s">
        <v>239</v>
      </c>
      <c r="C445" s="89" t="s">
        <v>647</v>
      </c>
      <c r="D445" s="84">
        <v>2017</v>
      </c>
      <c r="E445" s="84">
        <v>2020</v>
      </c>
      <c r="F445" s="84">
        <v>2777</v>
      </c>
      <c r="G445" s="84">
        <v>205</v>
      </c>
      <c r="H445" s="84">
        <v>156</v>
      </c>
      <c r="I445" s="85">
        <f t="shared" si="54"/>
        <v>188.66666666666666</v>
      </c>
      <c r="J445" s="85">
        <f t="shared" si="55"/>
        <v>14.719081272084807</v>
      </c>
      <c r="K445" s="79">
        <f t="shared" si="56"/>
        <v>49.443904593639573</v>
      </c>
      <c r="L445" s="85">
        <v>78</v>
      </c>
      <c r="M445" s="79">
        <f t="shared" si="57"/>
        <v>9</v>
      </c>
      <c r="N445" s="85">
        <f t="shared" si="63"/>
        <v>58.443904593639573</v>
      </c>
      <c r="O445" s="84" t="str">
        <f t="shared" si="58"/>
        <v>T50</v>
      </c>
      <c r="P445" s="1" t="b">
        <f t="shared" si="59"/>
        <v>0</v>
      </c>
      <c r="R445" s="43" t="b">
        <v>0</v>
      </c>
      <c r="T445" s="79">
        <f t="shared" si="64"/>
        <v>9</v>
      </c>
      <c r="U445" s="1" t="b">
        <f t="shared" si="60"/>
        <v>0</v>
      </c>
    </row>
    <row r="446" spans="1:22" x14ac:dyDescent="0.45">
      <c r="A446" s="42"/>
      <c r="B446" s="77" t="s">
        <v>239</v>
      </c>
      <c r="C446" s="77" t="s">
        <v>500</v>
      </c>
      <c r="D446" s="78">
        <v>1985</v>
      </c>
      <c r="E446" s="78">
        <v>1989</v>
      </c>
      <c r="F446" s="78">
        <v>2703</v>
      </c>
      <c r="G446" s="78">
        <v>135</v>
      </c>
      <c r="H446" s="78">
        <v>125</v>
      </c>
      <c r="I446" s="79">
        <f t="shared" si="54"/>
        <v>131.66666666666666</v>
      </c>
      <c r="J446" s="79">
        <f t="shared" si="55"/>
        <v>20.529113924050634</v>
      </c>
      <c r="K446" s="79">
        <f t="shared" si="56"/>
        <v>24.751265822784802</v>
      </c>
      <c r="L446" s="79">
        <v>50</v>
      </c>
      <c r="M446" s="79">
        <f t="shared" si="57"/>
        <v>-5</v>
      </c>
      <c r="N446" s="79">
        <f t="shared" si="63"/>
        <v>19.751265822784802</v>
      </c>
      <c r="O446" s="78" t="str">
        <f t="shared" si="58"/>
        <v>T30</v>
      </c>
      <c r="P446" s="1" t="b">
        <f t="shared" si="59"/>
        <v>0</v>
      </c>
      <c r="R446" s="43" t="b">
        <v>0</v>
      </c>
      <c r="T446" s="79">
        <f t="shared" si="64"/>
        <v>-5</v>
      </c>
      <c r="U446" s="1" t="b">
        <f t="shared" si="60"/>
        <v>0</v>
      </c>
    </row>
    <row r="447" spans="1:22" x14ac:dyDescent="0.45">
      <c r="A447" s="42"/>
      <c r="B447" s="77" t="s">
        <v>239</v>
      </c>
      <c r="C447" s="77" t="s">
        <v>427</v>
      </c>
      <c r="D447" s="78">
        <v>1987</v>
      </c>
      <c r="E447" s="78">
        <v>1987</v>
      </c>
      <c r="F447" s="78">
        <v>2200</v>
      </c>
      <c r="G447" s="78">
        <v>112</v>
      </c>
      <c r="H447" s="78">
        <v>97</v>
      </c>
      <c r="I447" s="79">
        <f t="shared" si="54"/>
        <v>106.99999999999999</v>
      </c>
      <c r="J447" s="79">
        <f t="shared" si="55"/>
        <v>20.560747663551403</v>
      </c>
      <c r="K447" s="79">
        <f t="shared" si="56"/>
        <v>24.616822429906534</v>
      </c>
      <c r="L447" s="79">
        <v>40</v>
      </c>
      <c r="M447" s="79">
        <f t="shared" si="57"/>
        <v>-10</v>
      </c>
      <c r="N447" s="79">
        <f t="shared" si="63"/>
        <v>14.616822429906534</v>
      </c>
      <c r="O447" s="78" t="str">
        <f t="shared" si="58"/>
        <v>T30</v>
      </c>
      <c r="P447" s="1" t="b">
        <f t="shared" si="59"/>
        <v>0</v>
      </c>
      <c r="R447" s="43" t="b">
        <v>0</v>
      </c>
      <c r="T447" s="79">
        <f t="shared" si="64"/>
        <v>-10</v>
      </c>
      <c r="U447" s="1" t="b">
        <f t="shared" si="60"/>
        <v>0</v>
      </c>
    </row>
    <row r="448" spans="1:22" x14ac:dyDescent="0.45">
      <c r="A448" s="42"/>
      <c r="B448" s="90" t="s">
        <v>239</v>
      </c>
      <c r="C448" s="90" t="s">
        <v>582</v>
      </c>
      <c r="D448" s="86">
        <v>2010</v>
      </c>
      <c r="E448" s="86"/>
      <c r="F448" s="86">
        <v>2865</v>
      </c>
      <c r="G448" s="86">
        <v>132</v>
      </c>
      <c r="H448" s="86">
        <v>128</v>
      </c>
      <c r="I448" s="85">
        <f t="shared" si="54"/>
        <v>130.66666666666666</v>
      </c>
      <c r="J448" s="85">
        <f t="shared" si="55"/>
        <v>21.926020408163268</v>
      </c>
      <c r="K448" s="79">
        <f t="shared" si="56"/>
        <v>18.814413265306115</v>
      </c>
      <c r="L448" s="87">
        <v>50</v>
      </c>
      <c r="M448" s="79">
        <f t="shared" si="57"/>
        <v>-5</v>
      </c>
      <c r="N448" s="79">
        <f t="shared" si="63"/>
        <v>13.814413265306115</v>
      </c>
      <c r="O448" s="78" t="str">
        <f t="shared" si="58"/>
        <v>T30</v>
      </c>
      <c r="P448" s="1" t="b">
        <f t="shared" si="59"/>
        <v>0</v>
      </c>
      <c r="R448" s="43" t="b">
        <v>0</v>
      </c>
      <c r="T448" s="79">
        <f t="shared" si="64"/>
        <v>-5</v>
      </c>
      <c r="U448" s="1" t="b">
        <f t="shared" si="60"/>
        <v>0</v>
      </c>
    </row>
    <row r="449" spans="1:22" x14ac:dyDescent="0.45">
      <c r="A449" s="42"/>
      <c r="B449" s="90" t="s">
        <v>239</v>
      </c>
      <c r="C449" s="90" t="s">
        <v>581</v>
      </c>
      <c r="D449" s="86">
        <v>2010</v>
      </c>
      <c r="E449" s="86"/>
      <c r="F449" s="86">
        <v>3360</v>
      </c>
      <c r="G449" s="86">
        <v>158</v>
      </c>
      <c r="H449" s="86">
        <v>162</v>
      </c>
      <c r="I449" s="85">
        <f t="shared" si="54"/>
        <v>159.33333333333331</v>
      </c>
      <c r="J449" s="85">
        <f t="shared" si="55"/>
        <v>21.087866108786613</v>
      </c>
      <c r="K449" s="79">
        <f t="shared" si="56"/>
        <v>22.376569037656893</v>
      </c>
      <c r="L449" s="87">
        <v>50</v>
      </c>
      <c r="M449" s="79">
        <f t="shared" si="57"/>
        <v>-5</v>
      </c>
      <c r="N449" s="79">
        <f t="shared" ref="N449:N480" si="65">M449+K449</f>
        <v>17.376569037656893</v>
      </c>
      <c r="O449" s="78" t="str">
        <f t="shared" si="58"/>
        <v>T30</v>
      </c>
      <c r="P449" s="1" t="b">
        <f t="shared" si="59"/>
        <v>0</v>
      </c>
      <c r="R449" s="43" t="b">
        <v>0</v>
      </c>
      <c r="T449" s="79">
        <f t="shared" si="64"/>
        <v>-5</v>
      </c>
      <c r="U449" s="1" t="b">
        <f t="shared" si="60"/>
        <v>0</v>
      </c>
    </row>
    <row r="450" spans="1:22" x14ac:dyDescent="0.45">
      <c r="A450" s="42"/>
      <c r="B450" s="90" t="s">
        <v>239</v>
      </c>
      <c r="C450" s="90" t="s">
        <v>580</v>
      </c>
      <c r="D450" s="86">
        <v>2010</v>
      </c>
      <c r="E450" s="86"/>
      <c r="F450" s="86">
        <v>3220</v>
      </c>
      <c r="G450" s="86">
        <v>158</v>
      </c>
      <c r="H450" s="86">
        <v>162</v>
      </c>
      <c r="I450" s="85">
        <f t="shared" si="54"/>
        <v>159.33333333333331</v>
      </c>
      <c r="J450" s="85">
        <f t="shared" si="55"/>
        <v>20.209205020920503</v>
      </c>
      <c r="K450" s="79">
        <f t="shared" si="56"/>
        <v>26.110878661087867</v>
      </c>
      <c r="L450" s="87">
        <v>50</v>
      </c>
      <c r="M450" s="79">
        <f t="shared" si="57"/>
        <v>-5</v>
      </c>
      <c r="N450" s="79">
        <f t="shared" si="65"/>
        <v>21.110878661087867</v>
      </c>
      <c r="O450" s="78" t="str">
        <f t="shared" si="58"/>
        <v>T30</v>
      </c>
      <c r="P450" s="1" t="b">
        <f t="shared" si="59"/>
        <v>0</v>
      </c>
      <c r="R450" s="43" t="b">
        <v>0</v>
      </c>
      <c r="T450" s="79">
        <f t="shared" si="64"/>
        <v>-5</v>
      </c>
      <c r="U450" s="1" t="b">
        <f t="shared" si="60"/>
        <v>0</v>
      </c>
    </row>
    <row r="451" spans="1:22" x14ac:dyDescent="0.45">
      <c r="A451" s="42"/>
      <c r="B451" s="77" t="s">
        <v>239</v>
      </c>
      <c r="C451" s="77" t="s">
        <v>313</v>
      </c>
      <c r="D451" s="78">
        <v>1990</v>
      </c>
      <c r="E451" s="78">
        <v>1999</v>
      </c>
      <c r="F451" s="78">
        <v>2599</v>
      </c>
      <c r="G451" s="78">
        <v>135</v>
      </c>
      <c r="H451" s="78">
        <v>145</v>
      </c>
      <c r="I451" s="79">
        <f t="shared" si="54"/>
        <v>138.33333333333331</v>
      </c>
      <c r="J451" s="79">
        <f t="shared" si="55"/>
        <v>18.787951807228918</v>
      </c>
      <c r="K451" s="79">
        <f t="shared" si="56"/>
        <v>32.151204819277098</v>
      </c>
      <c r="L451" s="79">
        <v>60</v>
      </c>
      <c r="M451" s="79">
        <f t="shared" si="57"/>
        <v>0</v>
      </c>
      <c r="N451" s="79">
        <f t="shared" si="65"/>
        <v>32.151204819277098</v>
      </c>
      <c r="O451" s="78" t="str">
        <f t="shared" si="58"/>
        <v>T30</v>
      </c>
      <c r="P451" s="1" t="b">
        <f t="shared" si="59"/>
        <v>0</v>
      </c>
      <c r="R451" s="43" t="b">
        <v>0</v>
      </c>
      <c r="T451" s="79">
        <f t="shared" si="64"/>
        <v>0</v>
      </c>
      <c r="U451" s="1" t="b">
        <f t="shared" si="60"/>
        <v>0</v>
      </c>
    </row>
    <row r="452" spans="1:22" x14ac:dyDescent="0.45">
      <c r="A452" s="42"/>
      <c r="B452" s="77" t="s">
        <v>239</v>
      </c>
      <c r="C452" s="77" t="s">
        <v>428</v>
      </c>
      <c r="D452" s="78">
        <v>1987</v>
      </c>
      <c r="E452" s="78">
        <v>1989</v>
      </c>
      <c r="F452" s="78">
        <v>2350</v>
      </c>
      <c r="G452" s="78">
        <v>115</v>
      </c>
      <c r="H452" s="78">
        <v>110</v>
      </c>
      <c r="I452" s="79">
        <f t="shared" si="54"/>
        <v>113.33333333333331</v>
      </c>
      <c r="J452" s="79">
        <f t="shared" si="55"/>
        <v>20.735294117647062</v>
      </c>
      <c r="K452" s="79">
        <f t="shared" si="56"/>
        <v>23.874999999999986</v>
      </c>
      <c r="L452" s="79">
        <v>55</v>
      </c>
      <c r="M452" s="79">
        <f t="shared" si="57"/>
        <v>-2.5</v>
      </c>
      <c r="N452" s="79">
        <f t="shared" si="65"/>
        <v>21.374999999999986</v>
      </c>
      <c r="O452" s="78" t="str">
        <f t="shared" si="58"/>
        <v>T30</v>
      </c>
      <c r="P452" s="1" t="b">
        <f t="shared" si="59"/>
        <v>0</v>
      </c>
      <c r="R452" s="43" t="b">
        <v>0</v>
      </c>
      <c r="T452" s="79">
        <f t="shared" si="64"/>
        <v>-2.5</v>
      </c>
      <c r="U452" s="1" t="b">
        <f t="shared" si="60"/>
        <v>0</v>
      </c>
    </row>
    <row r="453" spans="1:22" x14ac:dyDescent="0.45">
      <c r="A453" s="42"/>
      <c r="B453" s="77" t="s">
        <v>239</v>
      </c>
      <c r="C453" s="77" t="s">
        <v>429</v>
      </c>
      <c r="D453" s="78">
        <v>1988</v>
      </c>
      <c r="E453" s="78">
        <v>1988</v>
      </c>
      <c r="F453" s="78">
        <v>2494</v>
      </c>
      <c r="G453" s="78">
        <v>145</v>
      </c>
      <c r="H453" s="78">
        <v>140</v>
      </c>
      <c r="I453" s="79">
        <f t="shared" si="54"/>
        <v>143.33333333333331</v>
      </c>
      <c r="J453" s="79">
        <f t="shared" si="55"/>
        <v>17.400000000000002</v>
      </c>
      <c r="K453" s="79">
        <f t="shared" si="56"/>
        <v>38.049999999999997</v>
      </c>
      <c r="L453" s="79">
        <v>55</v>
      </c>
      <c r="M453" s="79">
        <f t="shared" si="57"/>
        <v>-2.5</v>
      </c>
      <c r="N453" s="79">
        <f t="shared" si="65"/>
        <v>35.549999999999997</v>
      </c>
      <c r="O453" s="78" t="str">
        <f t="shared" si="58"/>
        <v>T30</v>
      </c>
      <c r="P453" s="1" t="b">
        <f t="shared" si="59"/>
        <v>0</v>
      </c>
      <c r="R453" s="43" t="b">
        <v>0</v>
      </c>
      <c r="T453" s="79">
        <f t="shared" si="64"/>
        <v>-2.5</v>
      </c>
      <c r="U453" s="1" t="b">
        <f t="shared" si="60"/>
        <v>0</v>
      </c>
    </row>
    <row r="454" spans="1:22" x14ac:dyDescent="0.45">
      <c r="A454" s="42"/>
      <c r="B454" s="77" t="s">
        <v>239</v>
      </c>
      <c r="C454" s="77" t="s">
        <v>314</v>
      </c>
      <c r="D454" s="78">
        <v>2000</v>
      </c>
      <c r="E454" s="78">
        <v>2007</v>
      </c>
      <c r="F454" s="78">
        <v>2195</v>
      </c>
      <c r="G454" s="78">
        <v>138</v>
      </c>
      <c r="H454" s="78">
        <v>125</v>
      </c>
      <c r="I454" s="79">
        <f t="shared" si="54"/>
        <v>133.66666666666666</v>
      </c>
      <c r="J454" s="79">
        <f t="shared" si="55"/>
        <v>16.4214463840399</v>
      </c>
      <c r="K454" s="79">
        <f t="shared" si="56"/>
        <v>42.20885286783043</v>
      </c>
      <c r="L454" s="79">
        <v>70</v>
      </c>
      <c r="M454" s="79">
        <f t="shared" si="57"/>
        <v>5</v>
      </c>
      <c r="N454" s="79">
        <f t="shared" si="65"/>
        <v>47.20885286783043</v>
      </c>
      <c r="O454" s="78" t="str">
        <f t="shared" si="58"/>
        <v>T40</v>
      </c>
      <c r="P454" s="1" t="b">
        <f t="shared" si="59"/>
        <v>0</v>
      </c>
      <c r="R454" s="43" t="b">
        <v>0</v>
      </c>
      <c r="T454" s="79">
        <f t="shared" si="64"/>
        <v>5</v>
      </c>
      <c r="U454" s="1" t="b">
        <f t="shared" si="60"/>
        <v>0</v>
      </c>
    </row>
    <row r="455" spans="1:22" x14ac:dyDescent="0.45">
      <c r="A455" s="42"/>
      <c r="B455" s="77" t="s">
        <v>239</v>
      </c>
      <c r="C455" s="77" t="s">
        <v>240</v>
      </c>
      <c r="D455" s="78">
        <v>1990</v>
      </c>
      <c r="E455" s="78">
        <v>1999</v>
      </c>
      <c r="F455" s="78">
        <v>2782</v>
      </c>
      <c r="G455" s="78">
        <v>200</v>
      </c>
      <c r="H455" s="78">
        <v>200</v>
      </c>
      <c r="I455" s="79">
        <f t="shared" si="54"/>
        <v>199.99999999999997</v>
      </c>
      <c r="J455" s="79">
        <f t="shared" si="55"/>
        <v>13.910000000000002</v>
      </c>
      <c r="K455" s="79">
        <f t="shared" si="56"/>
        <v>52.882499999999993</v>
      </c>
      <c r="L455" s="79">
        <v>60</v>
      </c>
      <c r="M455" s="79">
        <f t="shared" si="57"/>
        <v>0</v>
      </c>
      <c r="N455" s="79">
        <f t="shared" si="65"/>
        <v>52.882499999999993</v>
      </c>
      <c r="O455" s="78" t="str">
        <f t="shared" si="58"/>
        <v>T50</v>
      </c>
      <c r="P455" s="1" t="b">
        <f t="shared" si="59"/>
        <v>0</v>
      </c>
      <c r="R455" s="43" t="b">
        <v>0</v>
      </c>
      <c r="T455" s="79">
        <f t="shared" si="64"/>
        <v>0</v>
      </c>
      <c r="U455" s="1" t="b">
        <f t="shared" si="60"/>
        <v>0</v>
      </c>
    </row>
    <row r="456" spans="1:22" x14ac:dyDescent="0.45">
      <c r="A456" s="42"/>
      <c r="B456" s="77" t="s">
        <v>239</v>
      </c>
      <c r="C456" s="77" t="s">
        <v>753</v>
      </c>
      <c r="D456" s="78">
        <v>2021</v>
      </c>
      <c r="E456" s="78"/>
      <c r="F456" s="78">
        <v>3181</v>
      </c>
      <c r="G456" s="78">
        <v>255</v>
      </c>
      <c r="H456" s="78">
        <v>295</v>
      </c>
      <c r="I456" s="79">
        <f t="shared" si="54"/>
        <v>268.33333333333331</v>
      </c>
      <c r="J456" s="79">
        <f t="shared" si="55"/>
        <v>11.854658385093169</v>
      </c>
      <c r="K456" s="79">
        <f t="shared" si="56"/>
        <v>61.617701863354036</v>
      </c>
      <c r="L456" s="79">
        <v>85</v>
      </c>
      <c r="M456" s="79">
        <f t="shared" si="57"/>
        <v>12.5</v>
      </c>
      <c r="N456" s="79">
        <f t="shared" si="65"/>
        <v>74.117701863354029</v>
      </c>
      <c r="O456" s="78" t="str">
        <f t="shared" si="58"/>
        <v>T70</v>
      </c>
      <c r="P456" s="1" t="b">
        <f t="shared" si="59"/>
        <v>0</v>
      </c>
      <c r="R456" s="43" t="b">
        <v>0</v>
      </c>
      <c r="T456" s="79">
        <f t="shared" si="64"/>
        <v>12.5</v>
      </c>
      <c r="U456" s="1" t="b">
        <f t="shared" si="60"/>
        <v>0</v>
      </c>
      <c r="V456" s="46"/>
    </row>
    <row r="457" spans="1:22" x14ac:dyDescent="0.45">
      <c r="A457" s="42"/>
      <c r="B457" s="77" t="s">
        <v>747</v>
      </c>
      <c r="C457" s="77" t="s">
        <v>748</v>
      </c>
      <c r="D457" s="78">
        <v>2020</v>
      </c>
      <c r="E457" s="78"/>
      <c r="F457" s="78">
        <v>3397</v>
      </c>
      <c r="G457" s="78">
        <v>335</v>
      </c>
      <c r="H457" s="78">
        <v>365</v>
      </c>
      <c r="I457" s="79">
        <f t="shared" si="54"/>
        <v>345</v>
      </c>
      <c r="J457" s="79">
        <f t="shared" si="55"/>
        <v>9.8463768115942027</v>
      </c>
      <c r="K457" s="79">
        <f t="shared" si="56"/>
        <v>70.152898550724643</v>
      </c>
      <c r="L457" s="79">
        <v>85</v>
      </c>
      <c r="M457" s="79">
        <f t="shared" si="57"/>
        <v>12.5</v>
      </c>
      <c r="N457" s="79">
        <f t="shared" si="65"/>
        <v>82.652898550724643</v>
      </c>
      <c r="O457" s="78" t="str">
        <f t="shared" si="58"/>
        <v>T80</v>
      </c>
      <c r="P457" s="1" t="b">
        <f t="shared" si="59"/>
        <v>0</v>
      </c>
      <c r="R457" s="43" t="b">
        <v>0</v>
      </c>
      <c r="T457" s="79">
        <f t="shared" si="64"/>
        <v>12.5</v>
      </c>
      <c r="U457" s="1" t="b">
        <f t="shared" si="60"/>
        <v>0</v>
      </c>
      <c r="V457" s="46"/>
    </row>
    <row r="458" spans="1:22" x14ac:dyDescent="0.45">
      <c r="A458" s="42"/>
      <c r="B458" s="77" t="s">
        <v>747</v>
      </c>
      <c r="C458" s="77" t="s">
        <v>748</v>
      </c>
      <c r="D458" s="78">
        <v>2021</v>
      </c>
      <c r="E458" s="78"/>
      <c r="F458" s="78">
        <v>3400</v>
      </c>
      <c r="G458" s="78">
        <v>382</v>
      </c>
      <c r="H458" s="78">
        <v>368</v>
      </c>
      <c r="I458" s="79">
        <f t="shared" si="54"/>
        <v>377.33333333333331</v>
      </c>
      <c r="J458" s="79">
        <f t="shared" si="55"/>
        <v>9.010600706713781</v>
      </c>
      <c r="K458" s="79">
        <f t="shared" si="56"/>
        <v>73.704946996466433</v>
      </c>
      <c r="L458" s="79">
        <v>85</v>
      </c>
      <c r="M458" s="79">
        <f t="shared" si="57"/>
        <v>12.5</v>
      </c>
      <c r="N458" s="79">
        <f t="shared" si="65"/>
        <v>86.204946996466433</v>
      </c>
      <c r="O458" s="78" t="str">
        <f t="shared" si="58"/>
        <v>T80</v>
      </c>
      <c r="P458" s="1" t="b">
        <f t="shared" si="59"/>
        <v>0</v>
      </c>
      <c r="R458" s="43" t="b">
        <v>0</v>
      </c>
      <c r="T458" s="79">
        <f t="shared" si="64"/>
        <v>12.5</v>
      </c>
      <c r="U458" s="1" t="b">
        <f t="shared" si="60"/>
        <v>0</v>
      </c>
      <c r="V458" s="46"/>
    </row>
    <row r="459" spans="1:22" x14ac:dyDescent="0.45">
      <c r="A459" s="42"/>
      <c r="B459" s="77" t="s">
        <v>241</v>
      </c>
      <c r="C459" s="77" t="s">
        <v>553</v>
      </c>
      <c r="D459" s="78">
        <v>1961</v>
      </c>
      <c r="E459" s="78">
        <v>1965</v>
      </c>
      <c r="F459" s="78">
        <v>2130</v>
      </c>
      <c r="G459" s="78">
        <v>100</v>
      </c>
      <c r="H459" s="78">
        <v>127</v>
      </c>
      <c r="I459" s="79">
        <f t="shared" si="54"/>
        <v>108.99999999999999</v>
      </c>
      <c r="J459" s="79">
        <f t="shared" si="55"/>
        <v>19.541284403669728</v>
      </c>
      <c r="K459" s="79">
        <f t="shared" si="56"/>
        <v>28.949541284403651</v>
      </c>
      <c r="L459" s="79">
        <v>30</v>
      </c>
      <c r="M459" s="79">
        <f t="shared" si="57"/>
        <v>-15</v>
      </c>
      <c r="N459" s="79">
        <f t="shared" si="65"/>
        <v>13.949541284403651</v>
      </c>
      <c r="O459" s="78" t="str">
        <f t="shared" si="58"/>
        <v>T30</v>
      </c>
      <c r="P459" s="1" t="b">
        <f t="shared" si="59"/>
        <v>0</v>
      </c>
      <c r="R459" s="43" t="b">
        <v>0</v>
      </c>
      <c r="T459" s="79">
        <f t="shared" si="64"/>
        <v>-15</v>
      </c>
      <c r="U459" s="1" t="b">
        <f t="shared" si="60"/>
        <v>0</v>
      </c>
    </row>
    <row r="460" spans="1:22" x14ac:dyDescent="0.45">
      <c r="A460" s="42"/>
      <c r="B460" s="77" t="s">
        <v>241</v>
      </c>
      <c r="C460" s="77" t="s">
        <v>242</v>
      </c>
      <c r="D460" s="78">
        <v>1969</v>
      </c>
      <c r="E460" s="78">
        <v>1976</v>
      </c>
      <c r="F460" s="78">
        <v>2491</v>
      </c>
      <c r="G460" s="78">
        <v>106</v>
      </c>
      <c r="H460" s="78">
        <v>133</v>
      </c>
      <c r="I460" s="79">
        <f t="shared" ref="I460:I486" si="66">G460*(2/3)+H460*(1/3)</f>
        <v>114.99999999999999</v>
      </c>
      <c r="J460" s="79">
        <f t="shared" ref="J460:J486" si="67">F460/I460</f>
        <v>21.660869565217393</v>
      </c>
      <c r="K460" s="79">
        <f t="shared" ref="K460:K486" si="68">J460*-4.25+112</f>
        <v>19.941304347826076</v>
      </c>
      <c r="L460" s="79">
        <v>25</v>
      </c>
      <c r="M460" s="79">
        <f t="shared" ref="M460:M486" si="69">(L460-60)/3*1.5</f>
        <v>-17.5</v>
      </c>
      <c r="N460" s="79">
        <f t="shared" si="65"/>
        <v>2.4413043478260761</v>
      </c>
      <c r="O460" s="78" t="str">
        <f t="shared" ref="O460:O486" si="70">INDEX(Base_Classes, MATCH($N460, Base_Assessments, 1)+1)</f>
        <v>T30</v>
      </c>
      <c r="P460" s="1" t="b">
        <f t="shared" ref="P460:P486" si="71">OR(R460,A460)</f>
        <v>0</v>
      </c>
      <c r="R460" s="43" t="b">
        <v>0</v>
      </c>
      <c r="T460" s="79">
        <f t="shared" si="64"/>
        <v>-17.5</v>
      </c>
      <c r="U460" s="1" t="b">
        <f t="shared" ref="U460:U486" si="72">AND(P460,$S$9)</f>
        <v>0</v>
      </c>
    </row>
    <row r="461" spans="1:22" x14ac:dyDescent="0.45">
      <c r="A461" s="42"/>
      <c r="B461" s="77" t="s">
        <v>241</v>
      </c>
      <c r="C461" s="77" t="s">
        <v>430</v>
      </c>
      <c r="D461" s="78">
        <v>1979</v>
      </c>
      <c r="E461" s="78">
        <v>1979</v>
      </c>
      <c r="F461" s="78">
        <v>2469</v>
      </c>
      <c r="G461" s="78">
        <v>85</v>
      </c>
      <c r="H461" s="78">
        <v>101</v>
      </c>
      <c r="I461" s="79">
        <f t="shared" si="66"/>
        <v>90.333333333333329</v>
      </c>
      <c r="J461" s="79">
        <f t="shared" si="67"/>
        <v>27.332103321033212</v>
      </c>
      <c r="K461" s="79">
        <f t="shared" si="68"/>
        <v>-4.1614391143911575</v>
      </c>
      <c r="L461" s="79">
        <v>40</v>
      </c>
      <c r="M461" s="79">
        <f t="shared" si="69"/>
        <v>-10</v>
      </c>
      <c r="N461" s="79">
        <f t="shared" si="65"/>
        <v>-14.161439114391158</v>
      </c>
      <c r="O461" s="78" t="str">
        <f t="shared" si="70"/>
        <v>T30</v>
      </c>
      <c r="P461" s="1" t="b">
        <f t="shared" si="71"/>
        <v>0</v>
      </c>
      <c r="R461" s="43" t="b">
        <v>0</v>
      </c>
      <c r="T461" s="79">
        <f t="shared" si="64"/>
        <v>-10</v>
      </c>
      <c r="U461" s="1" t="b">
        <f t="shared" si="72"/>
        <v>0</v>
      </c>
    </row>
    <row r="462" spans="1:22" x14ac:dyDescent="0.45">
      <c r="A462" s="42"/>
      <c r="B462" s="77" t="s">
        <v>241</v>
      </c>
      <c r="C462" s="77" t="s">
        <v>431</v>
      </c>
      <c r="D462" s="78">
        <v>1979</v>
      </c>
      <c r="E462" s="78">
        <v>1980</v>
      </c>
      <c r="F462" s="78">
        <v>2654</v>
      </c>
      <c r="G462" s="78">
        <v>137</v>
      </c>
      <c r="H462" s="78">
        <v>165</v>
      </c>
      <c r="I462" s="79">
        <f t="shared" si="66"/>
        <v>146.33333333333331</v>
      </c>
      <c r="J462" s="79">
        <f t="shared" si="67"/>
        <v>18.136674259681097</v>
      </c>
      <c r="K462" s="79">
        <f t="shared" si="68"/>
        <v>34.919134396355332</v>
      </c>
      <c r="L462" s="79">
        <v>45</v>
      </c>
      <c r="M462" s="79">
        <f t="shared" si="69"/>
        <v>-7.5</v>
      </c>
      <c r="N462" s="79">
        <f t="shared" si="65"/>
        <v>27.419134396355332</v>
      </c>
      <c r="O462" s="78" t="str">
        <f t="shared" si="70"/>
        <v>T30</v>
      </c>
      <c r="P462" s="1" t="b">
        <f t="shared" si="71"/>
        <v>0</v>
      </c>
      <c r="R462" s="43" t="b">
        <v>0</v>
      </c>
      <c r="T462" s="79">
        <f t="shared" si="64"/>
        <v>-7.5</v>
      </c>
      <c r="U462" s="1" t="b">
        <f t="shared" si="72"/>
        <v>0</v>
      </c>
    </row>
    <row r="463" spans="1:22" x14ac:dyDescent="0.45">
      <c r="A463" s="42"/>
      <c r="B463" s="77" t="s">
        <v>432</v>
      </c>
      <c r="C463" s="77" t="s">
        <v>433</v>
      </c>
      <c r="D463" s="78">
        <v>2006</v>
      </c>
      <c r="E463" s="78"/>
      <c r="F463" s="78">
        <v>2183</v>
      </c>
      <c r="G463" s="78">
        <v>534</v>
      </c>
      <c r="H463" s="78">
        <v>528</v>
      </c>
      <c r="I463" s="79">
        <f t="shared" si="66"/>
        <v>532</v>
      </c>
      <c r="J463" s="79">
        <f t="shared" si="67"/>
        <v>4.1033834586466167</v>
      </c>
      <c r="K463" s="79">
        <f t="shared" si="68"/>
        <v>94.560620300751879</v>
      </c>
      <c r="L463" s="79">
        <v>115</v>
      </c>
      <c r="M463" s="79">
        <f t="shared" si="69"/>
        <v>27.5</v>
      </c>
      <c r="N463" s="79">
        <f t="shared" si="65"/>
        <v>122.06062030075188</v>
      </c>
      <c r="O463" s="78" t="str">
        <f t="shared" si="70"/>
        <v>T110</v>
      </c>
      <c r="P463" s="1" t="b">
        <f t="shared" si="71"/>
        <v>0</v>
      </c>
      <c r="R463" s="43" t="b">
        <v>0</v>
      </c>
      <c r="T463" s="79">
        <f t="shared" si="64"/>
        <v>27.5</v>
      </c>
      <c r="U463" s="1" t="b">
        <f t="shared" si="72"/>
        <v>0</v>
      </c>
    </row>
    <row r="464" spans="1:22" x14ac:dyDescent="0.45">
      <c r="A464" s="42"/>
      <c r="B464" s="77" t="s">
        <v>432</v>
      </c>
      <c r="C464" s="77" t="s">
        <v>434</v>
      </c>
      <c r="D464" s="78">
        <v>2006</v>
      </c>
      <c r="E464" s="78"/>
      <c r="F464" s="78">
        <v>2183</v>
      </c>
      <c r="G464" s="78">
        <v>720</v>
      </c>
      <c r="H464" s="78">
        <v>580</v>
      </c>
      <c r="I464" s="79">
        <f t="shared" si="66"/>
        <v>673.33333333333326</v>
      </c>
      <c r="J464" s="79">
        <f t="shared" si="67"/>
        <v>3.2420792079207925</v>
      </c>
      <c r="K464" s="79">
        <f t="shared" si="68"/>
        <v>98.221163366336626</v>
      </c>
      <c r="L464" s="79">
        <v>115</v>
      </c>
      <c r="M464" s="79">
        <f t="shared" si="69"/>
        <v>27.5</v>
      </c>
      <c r="N464" s="79">
        <f t="shared" si="65"/>
        <v>125.72116336633663</v>
      </c>
      <c r="O464" s="78" t="str">
        <f t="shared" si="70"/>
        <v>T110</v>
      </c>
      <c r="P464" s="1" t="b">
        <f t="shared" si="71"/>
        <v>0</v>
      </c>
      <c r="R464" s="43" t="b">
        <v>0</v>
      </c>
      <c r="T464" s="79">
        <f t="shared" si="64"/>
        <v>27.5</v>
      </c>
      <c r="U464" s="1" t="b">
        <f t="shared" si="72"/>
        <v>0</v>
      </c>
    </row>
    <row r="465" spans="1:21" x14ac:dyDescent="0.45">
      <c r="A465" s="42"/>
      <c r="B465" s="77" t="s">
        <v>243</v>
      </c>
      <c r="C465" s="77" t="s">
        <v>244</v>
      </c>
      <c r="D465" s="78">
        <v>1998</v>
      </c>
      <c r="E465" s="78">
        <v>1998</v>
      </c>
      <c r="F465" s="78">
        <v>2565</v>
      </c>
      <c r="G465" s="78">
        <v>115</v>
      </c>
      <c r="H465" s="78">
        <v>122</v>
      </c>
      <c r="I465" s="79">
        <f t="shared" si="66"/>
        <v>117.33333333333331</v>
      </c>
      <c r="J465" s="79">
        <f t="shared" si="67"/>
        <v>21.860795454545457</v>
      </c>
      <c r="K465" s="79">
        <f t="shared" si="68"/>
        <v>19.091619318181813</v>
      </c>
      <c r="L465" s="79">
        <v>50</v>
      </c>
      <c r="M465" s="79">
        <f t="shared" si="69"/>
        <v>-5</v>
      </c>
      <c r="N465" s="79">
        <f t="shared" si="65"/>
        <v>14.091619318181813</v>
      </c>
      <c r="O465" s="78" t="str">
        <f t="shared" si="70"/>
        <v>T30</v>
      </c>
      <c r="P465" s="1" t="b">
        <f t="shared" si="71"/>
        <v>0</v>
      </c>
      <c r="R465" s="43" t="b">
        <v>0</v>
      </c>
      <c r="T465" s="79">
        <f t="shared" si="64"/>
        <v>-5</v>
      </c>
      <c r="U465" s="1" t="b">
        <f t="shared" si="72"/>
        <v>0</v>
      </c>
    </row>
    <row r="466" spans="1:21" x14ac:dyDescent="0.45">
      <c r="A466" s="42"/>
      <c r="B466" s="77" t="s">
        <v>243</v>
      </c>
      <c r="C466" s="77" t="s">
        <v>245</v>
      </c>
      <c r="D466" s="78">
        <v>2000</v>
      </c>
      <c r="E466" s="78">
        <v>2000</v>
      </c>
      <c r="F466" s="78">
        <v>2906</v>
      </c>
      <c r="G466" s="78">
        <v>150</v>
      </c>
      <c r="H466" s="78">
        <v>155</v>
      </c>
      <c r="I466" s="79">
        <f t="shared" si="66"/>
        <v>151.66666666666666</v>
      </c>
      <c r="J466" s="79">
        <f t="shared" si="67"/>
        <v>19.16043956043956</v>
      </c>
      <c r="K466" s="79">
        <f t="shared" si="68"/>
        <v>30.568131868131871</v>
      </c>
      <c r="L466" s="79">
        <v>55</v>
      </c>
      <c r="M466" s="79">
        <f t="shared" si="69"/>
        <v>-2.5</v>
      </c>
      <c r="N466" s="79">
        <f t="shared" si="65"/>
        <v>28.068131868131871</v>
      </c>
      <c r="O466" s="78" t="str">
        <f t="shared" si="70"/>
        <v>T30</v>
      </c>
      <c r="P466" s="1" t="b">
        <f t="shared" si="71"/>
        <v>0</v>
      </c>
      <c r="R466" s="43" t="b">
        <v>0</v>
      </c>
      <c r="T466" s="79">
        <f t="shared" si="64"/>
        <v>-2.5</v>
      </c>
      <c r="U466" s="1" t="b">
        <f t="shared" si="72"/>
        <v>0</v>
      </c>
    </row>
    <row r="467" spans="1:21" x14ac:dyDescent="0.45">
      <c r="A467" s="42"/>
      <c r="B467" s="77" t="s">
        <v>243</v>
      </c>
      <c r="C467" s="77" t="s">
        <v>245</v>
      </c>
      <c r="D467" s="78">
        <v>2002</v>
      </c>
      <c r="E467" s="78">
        <v>2002</v>
      </c>
      <c r="F467" s="78">
        <v>2935</v>
      </c>
      <c r="G467" s="78">
        <v>180</v>
      </c>
      <c r="H467" s="78">
        <v>174</v>
      </c>
      <c r="I467" s="79">
        <f t="shared" si="66"/>
        <v>178</v>
      </c>
      <c r="J467" s="79">
        <f t="shared" si="67"/>
        <v>16.488764044943821</v>
      </c>
      <c r="K467" s="79">
        <f t="shared" si="68"/>
        <v>41.922752808988761</v>
      </c>
      <c r="L467" s="79">
        <v>55</v>
      </c>
      <c r="M467" s="79">
        <f t="shared" si="69"/>
        <v>-2.5</v>
      </c>
      <c r="N467" s="79">
        <f t="shared" si="65"/>
        <v>39.422752808988761</v>
      </c>
      <c r="O467" s="78" t="str">
        <f t="shared" si="70"/>
        <v>T30</v>
      </c>
      <c r="P467" s="1" t="b">
        <f t="shared" si="71"/>
        <v>0</v>
      </c>
      <c r="R467" s="43" t="b">
        <v>0</v>
      </c>
      <c r="T467" s="79">
        <f t="shared" si="64"/>
        <v>-2.5</v>
      </c>
      <c r="U467" s="1" t="b">
        <f t="shared" si="72"/>
        <v>0</v>
      </c>
    </row>
    <row r="468" spans="1:21" x14ac:dyDescent="0.45">
      <c r="A468" s="42"/>
      <c r="B468" s="77" t="s">
        <v>243</v>
      </c>
      <c r="C468" s="77" t="s">
        <v>549</v>
      </c>
      <c r="D468" s="78">
        <v>2015</v>
      </c>
      <c r="E468" s="78"/>
      <c r="F468" s="78">
        <v>3340</v>
      </c>
      <c r="G468" s="78">
        <v>292</v>
      </c>
      <c r="H468" s="78">
        <v>280</v>
      </c>
      <c r="I468" s="79">
        <f t="shared" si="66"/>
        <v>288</v>
      </c>
      <c r="J468" s="79">
        <f t="shared" si="67"/>
        <v>11.597222222222221</v>
      </c>
      <c r="K468" s="79">
        <f t="shared" si="68"/>
        <v>62.711805555555557</v>
      </c>
      <c r="L468" s="79">
        <v>75</v>
      </c>
      <c r="M468" s="79">
        <f t="shared" si="69"/>
        <v>7.5</v>
      </c>
      <c r="N468" s="79">
        <f t="shared" si="65"/>
        <v>70.211805555555557</v>
      </c>
      <c r="O468" s="78" t="str">
        <f t="shared" si="70"/>
        <v>T70</v>
      </c>
      <c r="P468" s="1" t="b">
        <f t="shared" si="71"/>
        <v>0</v>
      </c>
      <c r="R468" s="43" t="b">
        <v>0</v>
      </c>
      <c r="T468" s="79">
        <f t="shared" si="64"/>
        <v>7.5</v>
      </c>
      <c r="U468" s="1" t="b">
        <f t="shared" si="72"/>
        <v>0</v>
      </c>
    </row>
    <row r="469" spans="1:21" x14ac:dyDescent="0.45">
      <c r="A469" s="42"/>
      <c r="B469" s="77" t="s">
        <v>243</v>
      </c>
      <c r="C469" s="77" t="s">
        <v>246</v>
      </c>
      <c r="D469" s="78">
        <v>2004</v>
      </c>
      <c r="E469" s="78">
        <v>2004</v>
      </c>
      <c r="F469" s="78">
        <v>3256</v>
      </c>
      <c r="G469" s="78">
        <v>241</v>
      </c>
      <c r="H469" s="78">
        <v>236</v>
      </c>
      <c r="I469" s="79">
        <f t="shared" si="66"/>
        <v>239.33333333333331</v>
      </c>
      <c r="J469" s="79">
        <f t="shared" si="67"/>
        <v>13.604456824512535</v>
      </c>
      <c r="K469" s="79">
        <f t="shared" si="68"/>
        <v>54.181058495821723</v>
      </c>
      <c r="L469" s="79">
        <v>70</v>
      </c>
      <c r="M469" s="79">
        <f t="shared" si="69"/>
        <v>5</v>
      </c>
      <c r="N469" s="79">
        <f t="shared" si="65"/>
        <v>59.181058495821723</v>
      </c>
      <c r="O469" s="78" t="str">
        <f t="shared" si="70"/>
        <v>T50</v>
      </c>
      <c r="P469" s="1" t="b">
        <f t="shared" si="71"/>
        <v>0</v>
      </c>
      <c r="R469" s="43" t="b">
        <v>0</v>
      </c>
      <c r="T469" s="79">
        <f t="shared" si="64"/>
        <v>5</v>
      </c>
      <c r="U469" s="1" t="b">
        <f t="shared" si="72"/>
        <v>0</v>
      </c>
    </row>
    <row r="470" spans="1:21" x14ac:dyDescent="0.45">
      <c r="A470" s="42"/>
      <c r="B470" s="77" t="s">
        <v>243</v>
      </c>
      <c r="C470" s="77" t="s">
        <v>246</v>
      </c>
      <c r="D470" s="78">
        <v>2008</v>
      </c>
      <c r="E470" s="78">
        <v>2008</v>
      </c>
      <c r="F470" s="78">
        <v>3547</v>
      </c>
      <c r="G470" s="78">
        <v>250</v>
      </c>
      <c r="H470" s="78">
        <v>236</v>
      </c>
      <c r="I470" s="79">
        <f t="shared" si="66"/>
        <v>245.33333333333331</v>
      </c>
      <c r="J470" s="79">
        <f t="shared" si="67"/>
        <v>14.457880434782609</v>
      </c>
      <c r="K470" s="79">
        <f t="shared" si="68"/>
        <v>50.554008152173907</v>
      </c>
      <c r="L470" s="79">
        <v>75</v>
      </c>
      <c r="M470" s="79">
        <f t="shared" si="69"/>
        <v>7.5</v>
      </c>
      <c r="N470" s="79">
        <f t="shared" si="65"/>
        <v>58.054008152173907</v>
      </c>
      <c r="O470" s="78" t="str">
        <f t="shared" si="70"/>
        <v>T50</v>
      </c>
      <c r="P470" s="1" t="b">
        <f t="shared" si="71"/>
        <v>0</v>
      </c>
      <c r="R470" s="43" t="b">
        <v>0</v>
      </c>
      <c r="T470" s="79">
        <f t="shared" si="64"/>
        <v>7.5</v>
      </c>
      <c r="U470" s="1" t="b">
        <f t="shared" si="72"/>
        <v>0</v>
      </c>
    </row>
    <row r="471" spans="1:21" x14ac:dyDescent="0.45">
      <c r="A471" s="42"/>
      <c r="B471" s="77" t="s">
        <v>243</v>
      </c>
      <c r="C471" s="77" t="s">
        <v>247</v>
      </c>
      <c r="D471" s="78">
        <v>2007</v>
      </c>
      <c r="E471" s="78">
        <v>2009</v>
      </c>
      <c r="F471" s="78">
        <v>3161</v>
      </c>
      <c r="G471" s="78">
        <v>200</v>
      </c>
      <c r="H471" s="78">
        <v>207</v>
      </c>
      <c r="I471" s="79">
        <f t="shared" si="66"/>
        <v>202.33333333333331</v>
      </c>
      <c r="J471" s="79">
        <f t="shared" si="67"/>
        <v>15.622734761120265</v>
      </c>
      <c r="K471" s="79">
        <f t="shared" si="68"/>
        <v>45.603377265238876</v>
      </c>
      <c r="L471" s="79">
        <v>60</v>
      </c>
      <c r="M471" s="79">
        <f t="shared" si="69"/>
        <v>0</v>
      </c>
      <c r="N471" s="79">
        <f t="shared" si="65"/>
        <v>45.603377265238876</v>
      </c>
      <c r="O471" s="78" t="str">
        <f t="shared" si="70"/>
        <v>T40</v>
      </c>
      <c r="P471" s="1" t="b">
        <f t="shared" si="71"/>
        <v>0</v>
      </c>
      <c r="R471" s="43" t="b">
        <v>0</v>
      </c>
      <c r="T471" s="79">
        <f t="shared" si="64"/>
        <v>0</v>
      </c>
      <c r="U471" s="1" t="b">
        <f t="shared" si="72"/>
        <v>0</v>
      </c>
    </row>
    <row r="472" spans="1:21" x14ac:dyDescent="0.45">
      <c r="A472" s="42"/>
      <c r="B472" s="77" t="s">
        <v>243</v>
      </c>
      <c r="C472" s="77" t="s">
        <v>248</v>
      </c>
      <c r="D472" s="78">
        <v>2006</v>
      </c>
      <c r="E472" s="78">
        <v>2006</v>
      </c>
      <c r="F472" s="78">
        <v>3259</v>
      </c>
      <c r="G472" s="78">
        <v>200</v>
      </c>
      <c r="H472" s="78">
        <v>207</v>
      </c>
      <c r="I472" s="79">
        <f t="shared" si="66"/>
        <v>202.33333333333331</v>
      </c>
      <c r="J472" s="79">
        <f t="shared" si="67"/>
        <v>16.10708401976936</v>
      </c>
      <c r="K472" s="79">
        <f t="shared" si="68"/>
        <v>43.544892915980228</v>
      </c>
      <c r="L472" s="79">
        <v>55</v>
      </c>
      <c r="M472" s="79">
        <f t="shared" si="69"/>
        <v>-2.5</v>
      </c>
      <c r="N472" s="79">
        <f t="shared" si="65"/>
        <v>41.044892915980228</v>
      </c>
      <c r="O472" s="78" t="str">
        <f t="shared" si="70"/>
        <v>T40</v>
      </c>
      <c r="P472" s="1" t="b">
        <f t="shared" si="71"/>
        <v>0</v>
      </c>
      <c r="R472" s="43" t="b">
        <v>0</v>
      </c>
      <c r="T472" s="79">
        <f t="shared" si="64"/>
        <v>-2.5</v>
      </c>
      <c r="U472" s="1" t="b">
        <f t="shared" si="72"/>
        <v>0</v>
      </c>
    </row>
    <row r="473" spans="1:21" x14ac:dyDescent="0.45">
      <c r="A473" s="42"/>
      <c r="B473" s="77" t="s">
        <v>243</v>
      </c>
      <c r="C473" s="77" t="s">
        <v>249</v>
      </c>
      <c r="D473" s="78">
        <v>2005</v>
      </c>
      <c r="E473" s="78">
        <v>2005</v>
      </c>
      <c r="F473" s="78">
        <v>3230</v>
      </c>
      <c r="G473" s="78">
        <v>150</v>
      </c>
      <c r="H473" s="78">
        <v>170</v>
      </c>
      <c r="I473" s="79">
        <f t="shared" si="66"/>
        <v>156.66666666666666</v>
      </c>
      <c r="J473" s="79">
        <f t="shared" si="67"/>
        <v>20.617021276595747</v>
      </c>
      <c r="K473" s="79">
        <f t="shared" si="68"/>
        <v>24.377659574468083</v>
      </c>
      <c r="L473" s="79">
        <v>55</v>
      </c>
      <c r="M473" s="79">
        <f t="shared" si="69"/>
        <v>-2.5</v>
      </c>
      <c r="N473" s="79">
        <f t="shared" si="65"/>
        <v>21.877659574468083</v>
      </c>
      <c r="O473" s="78" t="str">
        <f t="shared" si="70"/>
        <v>T30</v>
      </c>
      <c r="P473" s="1" t="b">
        <f t="shared" si="71"/>
        <v>0</v>
      </c>
      <c r="R473" s="43" t="b">
        <v>0</v>
      </c>
      <c r="T473" s="79">
        <f t="shared" si="64"/>
        <v>-2.5</v>
      </c>
      <c r="U473" s="1" t="b">
        <f t="shared" si="72"/>
        <v>0</v>
      </c>
    </row>
    <row r="474" spans="1:21" x14ac:dyDescent="0.45">
      <c r="A474" s="42"/>
      <c r="B474" s="77" t="s">
        <v>243</v>
      </c>
      <c r="C474" s="77" t="s">
        <v>550</v>
      </c>
      <c r="D474" s="78">
        <v>2011</v>
      </c>
      <c r="E474" s="78"/>
      <c r="F474" s="78">
        <v>3018</v>
      </c>
      <c r="G474" s="78">
        <v>170</v>
      </c>
      <c r="H474" s="78">
        <v>177</v>
      </c>
      <c r="I474" s="79">
        <f t="shared" si="66"/>
        <v>172.33333333333331</v>
      </c>
      <c r="J474" s="79">
        <f t="shared" si="67"/>
        <v>17.512572533849131</v>
      </c>
      <c r="K474" s="79">
        <f t="shared" si="68"/>
        <v>37.571566731141189</v>
      </c>
      <c r="L474" s="79">
        <v>55</v>
      </c>
      <c r="M474" s="79">
        <f t="shared" si="69"/>
        <v>-2.5</v>
      </c>
      <c r="N474" s="79">
        <f t="shared" si="65"/>
        <v>35.071566731141189</v>
      </c>
      <c r="O474" s="78" t="str">
        <f t="shared" si="70"/>
        <v>T30</v>
      </c>
      <c r="P474" s="1" t="b">
        <f t="shared" si="71"/>
        <v>0</v>
      </c>
      <c r="R474" s="43" t="b">
        <v>0</v>
      </c>
      <c r="T474" s="79">
        <f t="shared" si="64"/>
        <v>-2.5</v>
      </c>
      <c r="U474" s="1" t="b">
        <f t="shared" si="72"/>
        <v>0</v>
      </c>
    </row>
    <row r="475" spans="1:21" x14ac:dyDescent="0.45">
      <c r="A475" s="42"/>
      <c r="B475" s="77" t="s">
        <v>243</v>
      </c>
      <c r="C475" s="77" t="s">
        <v>250</v>
      </c>
      <c r="D475" s="78">
        <v>2002</v>
      </c>
      <c r="E475" s="78">
        <v>2002</v>
      </c>
      <c r="F475" s="78">
        <v>3113</v>
      </c>
      <c r="G475" s="78">
        <v>174</v>
      </c>
      <c r="H475" s="78">
        <v>181</v>
      </c>
      <c r="I475" s="79">
        <f t="shared" si="66"/>
        <v>176.33333333333331</v>
      </c>
      <c r="J475" s="79">
        <f t="shared" si="67"/>
        <v>17.654064272211723</v>
      </c>
      <c r="K475" s="79">
        <f t="shared" si="68"/>
        <v>36.970226843100178</v>
      </c>
      <c r="L475" s="79">
        <v>50</v>
      </c>
      <c r="M475" s="79">
        <f t="shared" si="69"/>
        <v>-5</v>
      </c>
      <c r="N475" s="79">
        <f t="shared" si="65"/>
        <v>31.970226843100178</v>
      </c>
      <c r="O475" s="78" t="str">
        <f t="shared" si="70"/>
        <v>T30</v>
      </c>
      <c r="P475" s="1" t="b">
        <f t="shared" si="71"/>
        <v>0</v>
      </c>
      <c r="R475" s="43" t="b">
        <v>0</v>
      </c>
      <c r="T475" s="79">
        <f t="shared" si="64"/>
        <v>-5</v>
      </c>
      <c r="U475" s="1" t="b">
        <f t="shared" si="72"/>
        <v>0</v>
      </c>
    </row>
    <row r="476" spans="1:21" x14ac:dyDescent="0.45">
      <c r="A476" s="42"/>
      <c r="B476" s="77" t="s">
        <v>243</v>
      </c>
      <c r="C476" s="77" t="s">
        <v>251</v>
      </c>
      <c r="D476" s="78">
        <v>2000</v>
      </c>
      <c r="E476" s="78">
        <v>2000</v>
      </c>
      <c r="F476" s="78">
        <v>2875</v>
      </c>
      <c r="G476" s="78">
        <v>150</v>
      </c>
      <c r="H476" s="78">
        <v>162</v>
      </c>
      <c r="I476" s="79">
        <f t="shared" si="66"/>
        <v>154</v>
      </c>
      <c r="J476" s="79">
        <f t="shared" si="67"/>
        <v>18.668831168831169</v>
      </c>
      <c r="K476" s="79">
        <f t="shared" si="68"/>
        <v>32.657467532467535</v>
      </c>
      <c r="L476" s="79">
        <v>55</v>
      </c>
      <c r="M476" s="79">
        <f t="shared" si="69"/>
        <v>-2.5</v>
      </c>
      <c r="N476" s="79">
        <f t="shared" si="65"/>
        <v>30.157467532467535</v>
      </c>
      <c r="O476" s="78" t="str">
        <f t="shared" si="70"/>
        <v>T30</v>
      </c>
      <c r="P476" s="1" t="b">
        <f t="shared" si="71"/>
        <v>0</v>
      </c>
      <c r="R476" s="43" t="b">
        <v>0</v>
      </c>
      <c r="T476" s="79">
        <f t="shared" si="64"/>
        <v>-2.5</v>
      </c>
      <c r="U476" s="1" t="b">
        <f t="shared" si="72"/>
        <v>0</v>
      </c>
    </row>
    <row r="477" spans="1:21" x14ac:dyDescent="0.45">
      <c r="A477" s="42"/>
      <c r="B477" s="77" t="s">
        <v>243</v>
      </c>
      <c r="C477" s="77" t="s">
        <v>252</v>
      </c>
      <c r="D477" s="78">
        <v>2007</v>
      </c>
      <c r="E477" s="78">
        <v>2007</v>
      </c>
      <c r="F477" s="78">
        <v>3072</v>
      </c>
      <c r="G477" s="78">
        <v>150</v>
      </c>
      <c r="H477" s="78">
        <v>170</v>
      </c>
      <c r="I477" s="79">
        <f t="shared" si="66"/>
        <v>156.66666666666666</v>
      </c>
      <c r="J477" s="79">
        <f t="shared" si="67"/>
        <v>19.608510638297872</v>
      </c>
      <c r="K477" s="79">
        <f t="shared" si="68"/>
        <v>28.66382978723405</v>
      </c>
      <c r="L477" s="79">
        <v>55</v>
      </c>
      <c r="M477" s="79">
        <f t="shared" si="69"/>
        <v>-2.5</v>
      </c>
      <c r="N477" s="79">
        <f t="shared" si="65"/>
        <v>26.16382978723405</v>
      </c>
      <c r="O477" s="78" t="str">
        <f t="shared" si="70"/>
        <v>T30</v>
      </c>
      <c r="P477" s="1" t="b">
        <f t="shared" si="71"/>
        <v>0</v>
      </c>
      <c r="R477" s="43" t="b">
        <v>0</v>
      </c>
      <c r="T477" s="79">
        <f t="shared" si="64"/>
        <v>-2.5</v>
      </c>
      <c r="U477" s="1" t="b">
        <f t="shared" si="72"/>
        <v>0</v>
      </c>
    </row>
    <row r="478" spans="1:21" x14ac:dyDescent="0.45">
      <c r="A478" s="42"/>
      <c r="B478" s="77" t="s">
        <v>243</v>
      </c>
      <c r="C478" s="77" t="s">
        <v>253</v>
      </c>
      <c r="D478" s="78">
        <v>1984</v>
      </c>
      <c r="E478" s="78">
        <v>1984</v>
      </c>
      <c r="F478" s="78">
        <v>1990</v>
      </c>
      <c r="G478" s="78">
        <v>90</v>
      </c>
      <c r="H478" s="78">
        <v>100</v>
      </c>
      <c r="I478" s="79">
        <f t="shared" si="66"/>
        <v>93.333333333333329</v>
      </c>
      <c r="J478" s="79">
        <f t="shared" si="67"/>
        <v>21.321428571428573</v>
      </c>
      <c r="K478" s="79">
        <f t="shared" si="68"/>
        <v>21.383928571428569</v>
      </c>
      <c r="L478" s="79">
        <v>40</v>
      </c>
      <c r="M478" s="79">
        <f t="shared" si="69"/>
        <v>-10</v>
      </c>
      <c r="N478" s="79">
        <f t="shared" si="65"/>
        <v>11.383928571428569</v>
      </c>
      <c r="O478" s="78" t="str">
        <f t="shared" si="70"/>
        <v>T30</v>
      </c>
      <c r="P478" s="1" t="b">
        <f t="shared" si="71"/>
        <v>0</v>
      </c>
      <c r="R478" s="43" t="b">
        <v>0</v>
      </c>
      <c r="T478" s="79">
        <f t="shared" si="64"/>
        <v>-10</v>
      </c>
      <c r="U478" s="1" t="b">
        <f t="shared" si="72"/>
        <v>0</v>
      </c>
    </row>
    <row r="479" spans="1:21" x14ac:dyDescent="0.45">
      <c r="A479" s="42"/>
      <c r="B479" s="77" t="s">
        <v>243</v>
      </c>
      <c r="C479" s="77" t="s">
        <v>254</v>
      </c>
      <c r="D479" s="78">
        <v>1984</v>
      </c>
      <c r="E479" s="78">
        <v>1984</v>
      </c>
      <c r="F479" s="78">
        <v>2530</v>
      </c>
      <c r="G479" s="78">
        <v>123</v>
      </c>
      <c r="H479" s="78">
        <v>120</v>
      </c>
      <c r="I479" s="79">
        <f t="shared" si="66"/>
        <v>122</v>
      </c>
      <c r="J479" s="79">
        <f t="shared" si="67"/>
        <v>20.737704918032787</v>
      </c>
      <c r="K479" s="79">
        <f t="shared" si="68"/>
        <v>23.864754098360663</v>
      </c>
      <c r="L479" s="79">
        <v>40</v>
      </c>
      <c r="M479" s="79">
        <f t="shared" si="69"/>
        <v>-10</v>
      </c>
      <c r="N479" s="79">
        <f t="shared" si="65"/>
        <v>13.864754098360663</v>
      </c>
      <c r="O479" s="78" t="str">
        <f t="shared" si="70"/>
        <v>T30</v>
      </c>
      <c r="P479" s="1" t="b">
        <f t="shared" si="71"/>
        <v>0</v>
      </c>
      <c r="R479" s="43" t="b">
        <v>0</v>
      </c>
      <c r="T479" s="79">
        <f t="shared" si="64"/>
        <v>-10</v>
      </c>
      <c r="U479" s="1" t="b">
        <f t="shared" si="72"/>
        <v>0</v>
      </c>
    </row>
    <row r="480" spans="1:21" x14ac:dyDescent="0.45">
      <c r="A480" s="42"/>
      <c r="B480" s="89" t="s">
        <v>638</v>
      </c>
      <c r="C480" s="89" t="s">
        <v>756</v>
      </c>
      <c r="D480" s="84">
        <v>2015</v>
      </c>
      <c r="E480" s="84">
        <v>2021</v>
      </c>
      <c r="F480" s="84">
        <v>3116</v>
      </c>
      <c r="G480" s="84">
        <v>220</v>
      </c>
      <c r="H480" s="84">
        <v>258</v>
      </c>
      <c r="I480" s="85">
        <f t="shared" si="66"/>
        <v>232.66666666666666</v>
      </c>
      <c r="J480" s="85">
        <f t="shared" si="67"/>
        <v>13.392550143266476</v>
      </c>
      <c r="K480" s="79">
        <f t="shared" si="68"/>
        <v>55.081661891117477</v>
      </c>
      <c r="L480" s="85">
        <v>70</v>
      </c>
      <c r="M480" s="79">
        <f t="shared" si="69"/>
        <v>5</v>
      </c>
      <c r="N480" s="85">
        <f t="shared" si="65"/>
        <v>60.081661891117477</v>
      </c>
      <c r="O480" s="78" t="str">
        <f t="shared" si="70"/>
        <v>T60</v>
      </c>
      <c r="P480" s="1" t="b">
        <f t="shared" si="71"/>
        <v>0</v>
      </c>
      <c r="R480" s="43" t="b">
        <v>0</v>
      </c>
      <c r="T480" s="79">
        <f t="shared" si="64"/>
        <v>5</v>
      </c>
      <c r="U480" s="1" t="b">
        <f t="shared" si="72"/>
        <v>0</v>
      </c>
    </row>
    <row r="481" spans="1:22" x14ac:dyDescent="0.45">
      <c r="A481" s="42"/>
      <c r="B481" s="77" t="s">
        <v>255</v>
      </c>
      <c r="C481" s="77" t="s">
        <v>256</v>
      </c>
      <c r="D481" s="78">
        <v>1991</v>
      </c>
      <c r="E481" s="78">
        <v>1999</v>
      </c>
      <c r="F481" s="78">
        <v>2450</v>
      </c>
      <c r="G481" s="78">
        <v>108</v>
      </c>
      <c r="H481" s="78">
        <v>173</v>
      </c>
      <c r="I481" s="79">
        <f t="shared" si="66"/>
        <v>129.66666666666666</v>
      </c>
      <c r="J481" s="79">
        <f t="shared" si="67"/>
        <v>18.894601542416453</v>
      </c>
      <c r="K481" s="79">
        <f t="shared" si="68"/>
        <v>31.697943444730072</v>
      </c>
      <c r="L481" s="79">
        <v>50</v>
      </c>
      <c r="M481" s="79">
        <f t="shared" si="69"/>
        <v>-5</v>
      </c>
      <c r="N481" s="79">
        <f t="shared" ref="N481:N486" si="73">M481+K481</f>
        <v>26.697943444730072</v>
      </c>
      <c r="O481" s="78" t="str">
        <f t="shared" si="70"/>
        <v>T30</v>
      </c>
      <c r="P481" s="1" t="b">
        <f t="shared" si="71"/>
        <v>0</v>
      </c>
      <c r="R481" s="43" t="b">
        <v>0</v>
      </c>
      <c r="T481" s="79">
        <f t="shared" si="64"/>
        <v>-5</v>
      </c>
      <c r="U481" s="1" t="b">
        <f t="shared" si="72"/>
        <v>0</v>
      </c>
    </row>
    <row r="482" spans="1:22" x14ac:dyDescent="0.45">
      <c r="A482" s="42"/>
      <c r="B482" s="77" t="s">
        <v>255</v>
      </c>
      <c r="C482" s="77" t="s">
        <v>724</v>
      </c>
      <c r="D482" s="78">
        <v>2019</v>
      </c>
      <c r="E482" s="78"/>
      <c r="F482" s="78">
        <v>3217</v>
      </c>
      <c r="G482" s="78">
        <v>228</v>
      </c>
      <c r="H482" s="78">
        <v>258</v>
      </c>
      <c r="I482" s="79">
        <f t="shared" si="66"/>
        <v>238</v>
      </c>
      <c r="J482" s="79">
        <f t="shared" si="67"/>
        <v>13.516806722689076</v>
      </c>
      <c r="K482" s="79">
        <f t="shared" si="68"/>
        <v>54.553571428571431</v>
      </c>
      <c r="L482" s="79">
        <v>70</v>
      </c>
      <c r="M482" s="79">
        <f t="shared" si="69"/>
        <v>5</v>
      </c>
      <c r="N482" s="79">
        <f t="shared" si="73"/>
        <v>59.553571428571431</v>
      </c>
      <c r="O482" s="78" t="str">
        <f t="shared" si="70"/>
        <v>T50</v>
      </c>
      <c r="P482" s="1" t="b">
        <f t="shared" si="71"/>
        <v>0</v>
      </c>
      <c r="R482" s="43" t="b">
        <v>0</v>
      </c>
      <c r="T482" s="79">
        <f t="shared" si="64"/>
        <v>5</v>
      </c>
      <c r="U482" s="1" t="b">
        <f t="shared" si="72"/>
        <v>0</v>
      </c>
      <c r="V482" s="46"/>
    </row>
    <row r="483" spans="1:22" x14ac:dyDescent="0.45">
      <c r="A483" s="42"/>
      <c r="B483" s="77" t="s">
        <v>255</v>
      </c>
      <c r="C483" s="77" t="s">
        <v>760</v>
      </c>
      <c r="D483" s="78">
        <v>2010</v>
      </c>
      <c r="E483" s="78">
        <v>2014</v>
      </c>
      <c r="F483" s="78">
        <v>3100</v>
      </c>
      <c r="G483" s="78">
        <v>200</v>
      </c>
      <c r="H483" s="78">
        <v>207</v>
      </c>
      <c r="I483" s="79">
        <f t="shared" si="66"/>
        <v>202.33333333333331</v>
      </c>
      <c r="J483" s="79">
        <f t="shared" si="67"/>
        <v>15.321252059308074</v>
      </c>
      <c r="K483" s="79">
        <f t="shared" si="68"/>
        <v>46.884678747940683</v>
      </c>
      <c r="L483" s="79">
        <v>65</v>
      </c>
      <c r="M483" s="79">
        <f t="shared" si="69"/>
        <v>2.5</v>
      </c>
      <c r="N483" s="79">
        <f t="shared" si="73"/>
        <v>49.384678747940683</v>
      </c>
      <c r="O483" s="78" t="str">
        <f t="shared" si="70"/>
        <v>T40</v>
      </c>
      <c r="P483" s="1" t="b">
        <f t="shared" si="71"/>
        <v>0</v>
      </c>
      <c r="R483" s="43" t="b">
        <v>0</v>
      </c>
      <c r="T483" s="79">
        <f t="shared" si="64"/>
        <v>2.5</v>
      </c>
      <c r="U483" s="1" t="b">
        <f t="shared" si="72"/>
        <v>0</v>
      </c>
      <c r="V483" s="46"/>
    </row>
    <row r="484" spans="1:22" x14ac:dyDescent="0.45">
      <c r="A484" s="42"/>
      <c r="B484" s="77" t="s">
        <v>255</v>
      </c>
      <c r="C484" s="77" t="s">
        <v>757</v>
      </c>
      <c r="D484" s="78">
        <v>2015</v>
      </c>
      <c r="E484" s="78"/>
      <c r="F484" s="78">
        <v>3116</v>
      </c>
      <c r="G484" s="78">
        <v>220</v>
      </c>
      <c r="H484" s="78">
        <v>258</v>
      </c>
      <c r="I484" s="79">
        <f t="shared" si="66"/>
        <v>232.66666666666666</v>
      </c>
      <c r="J484" s="79">
        <f t="shared" si="67"/>
        <v>13.392550143266476</v>
      </c>
      <c r="K484" s="79">
        <f t="shared" si="68"/>
        <v>55.081661891117477</v>
      </c>
      <c r="L484" s="79">
        <v>70</v>
      </c>
      <c r="M484" s="79">
        <f t="shared" si="69"/>
        <v>5</v>
      </c>
      <c r="N484" s="79">
        <f t="shared" si="73"/>
        <v>60.081661891117477</v>
      </c>
      <c r="O484" s="78" t="str">
        <f t="shared" si="70"/>
        <v>T60</v>
      </c>
      <c r="P484" s="1" t="b">
        <f t="shared" si="71"/>
        <v>0</v>
      </c>
      <c r="R484" s="43" t="b">
        <v>0</v>
      </c>
      <c r="T484" s="79">
        <f t="shared" si="64"/>
        <v>5</v>
      </c>
      <c r="U484" s="1" t="b">
        <f t="shared" si="72"/>
        <v>0</v>
      </c>
      <c r="V484" s="46"/>
    </row>
    <row r="485" spans="1:22" x14ac:dyDescent="0.45">
      <c r="A485" s="42"/>
      <c r="B485" s="77" t="s">
        <v>255</v>
      </c>
      <c r="C485" s="77" t="s">
        <v>758</v>
      </c>
      <c r="D485" s="78">
        <v>2022</v>
      </c>
      <c r="E485" s="78"/>
      <c r="F485" s="78">
        <v>3360</v>
      </c>
      <c r="G485" s="78">
        <v>315</v>
      </c>
      <c r="H485" s="78">
        <v>310</v>
      </c>
      <c r="I485" s="79">
        <f t="shared" si="66"/>
        <v>313.33333333333331</v>
      </c>
      <c r="J485" s="79">
        <f t="shared" si="67"/>
        <v>10.723404255319149</v>
      </c>
      <c r="K485" s="79">
        <f t="shared" si="68"/>
        <v>66.425531914893611</v>
      </c>
      <c r="L485" s="79">
        <v>80</v>
      </c>
      <c r="M485" s="79">
        <f t="shared" si="69"/>
        <v>10</v>
      </c>
      <c r="N485" s="79">
        <f t="shared" si="73"/>
        <v>76.425531914893611</v>
      </c>
      <c r="O485" s="78" t="str">
        <f t="shared" si="70"/>
        <v>T70</v>
      </c>
      <c r="P485" s="1" t="b">
        <f t="shared" si="71"/>
        <v>0</v>
      </c>
      <c r="R485" s="43" t="b">
        <v>0</v>
      </c>
      <c r="T485" s="79">
        <f t="shared" si="64"/>
        <v>10</v>
      </c>
      <c r="U485" s="1" t="b">
        <f t="shared" si="72"/>
        <v>0</v>
      </c>
      <c r="V485" s="46"/>
    </row>
    <row r="486" spans="1:22" x14ac:dyDescent="0.45">
      <c r="A486" s="42"/>
      <c r="B486" s="90" t="s">
        <v>583</v>
      </c>
      <c r="C486" s="90" t="s">
        <v>584</v>
      </c>
      <c r="D486" s="86">
        <v>2017</v>
      </c>
      <c r="E486" s="86"/>
      <c r="F486" s="86">
        <v>3966</v>
      </c>
      <c r="G486" s="86">
        <v>362</v>
      </c>
      <c r="H486" s="86">
        <v>347</v>
      </c>
      <c r="I486" s="85">
        <f t="shared" si="66"/>
        <v>357</v>
      </c>
      <c r="J486" s="85">
        <f t="shared" si="67"/>
        <v>11.109243697478991</v>
      </c>
      <c r="K486" s="79">
        <f t="shared" si="68"/>
        <v>64.785714285714278</v>
      </c>
      <c r="L486" s="87">
        <v>75</v>
      </c>
      <c r="M486" s="79">
        <f t="shared" si="69"/>
        <v>7.5</v>
      </c>
      <c r="N486" s="79">
        <f t="shared" si="73"/>
        <v>72.285714285714278</v>
      </c>
      <c r="O486" s="78" t="str">
        <f t="shared" si="70"/>
        <v>T70</v>
      </c>
      <c r="P486" s="1" t="b">
        <f t="shared" si="71"/>
        <v>0</v>
      </c>
      <c r="R486" s="43" t="b">
        <v>0</v>
      </c>
      <c r="T486" s="79">
        <f t="shared" si="64"/>
        <v>7.5</v>
      </c>
      <c r="U486" s="1" t="b">
        <f t="shared" si="72"/>
        <v>0</v>
      </c>
    </row>
    <row r="487" spans="1:22" hidden="1" x14ac:dyDescent="0.45">
      <c r="P487" s="1" t="b">
        <f t="shared" ref="P487:P509" si="74">OR(R487,A487)</f>
        <v>0</v>
      </c>
      <c r="R487" s="43" t="b">
        <v>0</v>
      </c>
      <c r="U487" s="1" t="b">
        <f t="shared" ref="U487:U509" si="75">AND(P487,$S$9)</f>
        <v>0</v>
      </c>
    </row>
    <row r="488" spans="1:22" hidden="1" x14ac:dyDescent="0.45">
      <c r="P488" s="1" t="b">
        <f t="shared" si="74"/>
        <v>0</v>
      </c>
      <c r="R488" s="43" t="b">
        <v>0</v>
      </c>
      <c r="U488" s="1" t="b">
        <f t="shared" si="75"/>
        <v>0</v>
      </c>
    </row>
    <row r="489" spans="1:22" hidden="1" x14ac:dyDescent="0.45">
      <c r="P489" s="1" t="b">
        <f t="shared" si="74"/>
        <v>0</v>
      </c>
      <c r="R489" s="43" t="b">
        <v>0</v>
      </c>
      <c r="U489" s="1" t="b">
        <f t="shared" si="75"/>
        <v>0</v>
      </c>
    </row>
    <row r="490" spans="1:22" hidden="1" x14ac:dyDescent="0.45">
      <c r="P490" s="1" t="b">
        <f t="shared" si="74"/>
        <v>0</v>
      </c>
      <c r="R490" s="43" t="b">
        <v>0</v>
      </c>
      <c r="U490" s="1" t="b">
        <f t="shared" si="75"/>
        <v>0</v>
      </c>
    </row>
    <row r="491" spans="1:22" hidden="1" x14ac:dyDescent="0.45">
      <c r="P491" s="1" t="b">
        <f t="shared" si="74"/>
        <v>0</v>
      </c>
      <c r="R491" s="43" t="b">
        <v>0</v>
      </c>
      <c r="U491" s="1" t="b">
        <f t="shared" si="75"/>
        <v>0</v>
      </c>
    </row>
    <row r="492" spans="1:22" hidden="1" x14ac:dyDescent="0.45">
      <c r="P492" s="1" t="b">
        <f t="shared" si="74"/>
        <v>0</v>
      </c>
      <c r="R492" s="43" t="b">
        <v>0</v>
      </c>
      <c r="U492" s="1" t="b">
        <f t="shared" si="75"/>
        <v>0</v>
      </c>
    </row>
    <row r="493" spans="1:22" hidden="1" x14ac:dyDescent="0.45">
      <c r="P493" s="1" t="b">
        <f t="shared" si="74"/>
        <v>0</v>
      </c>
      <c r="R493" s="43" t="b">
        <v>0</v>
      </c>
      <c r="U493" s="1" t="b">
        <f t="shared" si="75"/>
        <v>0</v>
      </c>
    </row>
    <row r="494" spans="1:22" hidden="1" x14ac:dyDescent="0.45">
      <c r="P494" s="1" t="b">
        <f t="shared" si="74"/>
        <v>0</v>
      </c>
      <c r="R494" s="43" t="b">
        <v>0</v>
      </c>
      <c r="U494" s="1" t="b">
        <f t="shared" si="75"/>
        <v>0</v>
      </c>
    </row>
    <row r="495" spans="1:22" hidden="1" x14ac:dyDescent="0.45">
      <c r="P495" s="1" t="b">
        <f t="shared" si="74"/>
        <v>0</v>
      </c>
      <c r="R495" s="43" t="b">
        <v>0</v>
      </c>
      <c r="U495" s="1" t="b">
        <f t="shared" si="75"/>
        <v>0</v>
      </c>
    </row>
    <row r="496" spans="1:22" hidden="1" x14ac:dyDescent="0.45">
      <c r="P496" s="1" t="b">
        <f t="shared" si="74"/>
        <v>0</v>
      </c>
      <c r="R496" s="43" t="b">
        <v>0</v>
      </c>
      <c r="U496" s="1" t="b">
        <f t="shared" si="75"/>
        <v>0</v>
      </c>
    </row>
    <row r="497" spans="6:21" hidden="1" x14ac:dyDescent="0.45">
      <c r="P497" s="1" t="b">
        <f t="shared" si="74"/>
        <v>0</v>
      </c>
      <c r="R497" s="43" t="b">
        <v>0</v>
      </c>
      <c r="U497" s="1" t="b">
        <f t="shared" si="75"/>
        <v>0</v>
      </c>
    </row>
    <row r="498" spans="6:21" hidden="1" x14ac:dyDescent="0.45">
      <c r="P498" s="1" t="b">
        <f t="shared" si="74"/>
        <v>0</v>
      </c>
      <c r="R498" s="43" t="b">
        <v>0</v>
      </c>
      <c r="U498" s="1" t="b">
        <f t="shared" si="75"/>
        <v>0</v>
      </c>
    </row>
    <row r="499" spans="6:21" hidden="1" x14ac:dyDescent="0.45">
      <c r="P499" s="1" t="b">
        <f t="shared" si="74"/>
        <v>0</v>
      </c>
      <c r="R499" s="43" t="b">
        <v>0</v>
      </c>
      <c r="U499" s="1" t="b">
        <f t="shared" si="75"/>
        <v>0</v>
      </c>
    </row>
    <row r="500" spans="6:21" hidden="1" x14ac:dyDescent="0.45">
      <c r="P500" s="1" t="b">
        <f t="shared" si="74"/>
        <v>0</v>
      </c>
      <c r="R500" s="43" t="b">
        <v>0</v>
      </c>
      <c r="U500" s="1" t="b">
        <f t="shared" si="75"/>
        <v>0</v>
      </c>
    </row>
    <row r="501" spans="6:21" hidden="1" x14ac:dyDescent="0.45">
      <c r="P501" s="1" t="b">
        <f t="shared" si="74"/>
        <v>0</v>
      </c>
      <c r="R501" s="43" t="b">
        <v>0</v>
      </c>
      <c r="U501" s="1" t="b">
        <f t="shared" si="75"/>
        <v>0</v>
      </c>
    </row>
    <row r="502" spans="6:21" hidden="1" x14ac:dyDescent="0.45">
      <c r="P502" s="1" t="b">
        <f t="shared" si="74"/>
        <v>0</v>
      </c>
      <c r="R502" s="43" t="b">
        <v>0</v>
      </c>
      <c r="U502" s="1" t="b">
        <f t="shared" si="75"/>
        <v>0</v>
      </c>
    </row>
    <row r="503" spans="6:21" hidden="1" x14ac:dyDescent="0.45">
      <c r="P503" s="1" t="b">
        <f t="shared" si="74"/>
        <v>0</v>
      </c>
      <c r="R503" s="43" t="b">
        <v>0</v>
      </c>
      <c r="U503" s="1" t="b">
        <f t="shared" si="75"/>
        <v>0</v>
      </c>
    </row>
    <row r="504" spans="6:21" hidden="1" x14ac:dyDescent="0.45">
      <c r="P504" s="1" t="b">
        <f t="shared" si="74"/>
        <v>0</v>
      </c>
      <c r="R504" s="43" t="b">
        <v>0</v>
      </c>
      <c r="U504" s="1" t="b">
        <f t="shared" si="75"/>
        <v>0</v>
      </c>
    </row>
    <row r="505" spans="6:21" hidden="1" x14ac:dyDescent="0.45">
      <c r="P505" s="1" t="b">
        <f t="shared" si="74"/>
        <v>0</v>
      </c>
      <c r="R505" s="43" t="b">
        <v>0</v>
      </c>
      <c r="U505" s="1" t="b">
        <f t="shared" si="75"/>
        <v>0</v>
      </c>
    </row>
    <row r="506" spans="6:21" hidden="1" x14ac:dyDescent="0.45">
      <c r="P506" s="1" t="b">
        <f t="shared" si="74"/>
        <v>0</v>
      </c>
      <c r="R506" s="43" t="b">
        <v>0</v>
      </c>
      <c r="U506" s="1" t="b">
        <f t="shared" si="75"/>
        <v>0</v>
      </c>
    </row>
    <row r="507" spans="6:21" hidden="1" x14ac:dyDescent="0.45">
      <c r="P507" s="1" t="b">
        <f t="shared" si="74"/>
        <v>0</v>
      </c>
      <c r="R507" s="43" t="b">
        <v>0</v>
      </c>
      <c r="U507" s="1" t="b">
        <f t="shared" si="75"/>
        <v>0</v>
      </c>
    </row>
    <row r="508" spans="6:21" hidden="1" x14ac:dyDescent="0.45">
      <c r="P508" s="1" t="b">
        <f t="shared" si="74"/>
        <v>0</v>
      </c>
      <c r="R508" s="43" t="b">
        <v>0</v>
      </c>
      <c r="U508" s="1" t="b">
        <f t="shared" si="75"/>
        <v>0</v>
      </c>
    </row>
    <row r="509" spans="6:21" hidden="1" x14ac:dyDescent="0.45">
      <c r="F509" s="14" t="s">
        <v>449</v>
      </c>
      <c r="P509" s="1" t="b">
        <f t="shared" si="74"/>
        <v>0</v>
      </c>
      <c r="R509" s="43" t="b">
        <v>0</v>
      </c>
      <c r="U509" s="1" t="b">
        <f t="shared" si="75"/>
        <v>0</v>
      </c>
    </row>
    <row r="510" spans="6:21" hidden="1" x14ac:dyDescent="0.45"/>
    <row r="511" spans="6:21" hidden="1" x14ac:dyDescent="0.45"/>
    <row r="512" spans="6:21"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spans="2:19" hidden="1" x14ac:dyDescent="0.45"/>
    <row r="530" spans="2:19" hidden="1" x14ac:dyDescent="0.45"/>
    <row r="531" spans="2:19" hidden="1" x14ac:dyDescent="0.45"/>
    <row r="532" spans="2:19" hidden="1" x14ac:dyDescent="0.45"/>
    <row r="533" spans="2:19" hidden="1" x14ac:dyDescent="0.45"/>
    <row r="534" spans="2:19" hidden="1" x14ac:dyDescent="0.45"/>
    <row r="535" spans="2:19" hidden="1" x14ac:dyDescent="0.45"/>
    <row r="536" spans="2:19" hidden="1" x14ac:dyDescent="0.45"/>
    <row r="537" spans="2:19" s="132" customFormat="1" x14ac:dyDescent="0.45">
      <c r="B537" s="129"/>
      <c r="C537" s="129"/>
      <c r="D537" s="130"/>
      <c r="E537" s="130"/>
      <c r="F537" s="130"/>
      <c r="G537" s="130"/>
      <c r="H537" s="130"/>
      <c r="I537" s="130"/>
      <c r="J537" s="131"/>
      <c r="K537" s="131"/>
      <c r="L537" s="131"/>
      <c r="M537" s="130"/>
      <c r="N537" s="131"/>
      <c r="O537" s="130"/>
      <c r="R537" s="133"/>
      <c r="S537" s="134"/>
    </row>
    <row r="538" spans="2:19" s="132" customFormat="1" x14ac:dyDescent="0.45">
      <c r="B538" s="129"/>
      <c r="C538" s="129"/>
      <c r="D538" s="130"/>
      <c r="E538" s="130"/>
      <c r="F538" s="130"/>
      <c r="G538" s="130"/>
      <c r="H538" s="130"/>
      <c r="I538" s="130"/>
      <c r="J538" s="131"/>
      <c r="K538" s="131"/>
      <c r="L538" s="131"/>
      <c r="M538" s="130"/>
      <c r="N538" s="131"/>
      <c r="O538" s="130"/>
      <c r="R538" s="133"/>
      <c r="S538" s="134"/>
    </row>
    <row r="539" spans="2:19" s="132" customFormat="1" x14ac:dyDescent="0.45">
      <c r="B539" s="129"/>
      <c r="C539" s="129"/>
      <c r="D539" s="130"/>
      <c r="E539" s="130"/>
      <c r="F539" s="130"/>
      <c r="G539" s="130"/>
      <c r="H539" s="130"/>
      <c r="I539" s="130"/>
      <c r="J539" s="131"/>
      <c r="K539" s="131"/>
      <c r="L539" s="131"/>
      <c r="M539" s="130"/>
      <c r="N539" s="131"/>
      <c r="O539" s="130"/>
      <c r="R539" s="133"/>
      <c r="S539" s="134"/>
    </row>
    <row r="540" spans="2:19" s="132" customFormat="1" x14ac:dyDescent="0.45">
      <c r="B540" s="129"/>
      <c r="C540" s="129"/>
      <c r="D540" s="130"/>
      <c r="E540" s="130"/>
      <c r="F540" s="130"/>
      <c r="G540" s="130"/>
      <c r="H540" s="130"/>
      <c r="I540" s="130"/>
      <c r="J540" s="131"/>
      <c r="K540" s="131"/>
      <c r="L540" s="131"/>
      <c r="M540" s="130"/>
      <c r="N540" s="131"/>
      <c r="O540" s="130"/>
      <c r="R540" s="133"/>
      <c r="S540" s="134"/>
    </row>
    <row r="541" spans="2:19" s="132" customFormat="1" x14ac:dyDescent="0.45">
      <c r="B541" s="129"/>
      <c r="C541" s="129"/>
      <c r="D541" s="130"/>
      <c r="E541" s="130"/>
      <c r="F541" s="130"/>
      <c r="G541" s="130"/>
      <c r="H541" s="130"/>
      <c r="I541" s="130"/>
      <c r="J541" s="131"/>
      <c r="K541" s="131"/>
      <c r="L541" s="131"/>
      <c r="M541" s="130"/>
      <c r="N541" s="131"/>
      <c r="O541" s="130"/>
      <c r="R541" s="133"/>
      <c r="S541" s="134"/>
    </row>
    <row r="542" spans="2:19" s="132" customFormat="1" x14ac:dyDescent="0.45">
      <c r="B542" s="129"/>
      <c r="C542" s="129"/>
      <c r="D542" s="130"/>
      <c r="E542" s="130"/>
      <c r="F542" s="130"/>
      <c r="G542" s="130"/>
      <c r="H542" s="130"/>
      <c r="I542" s="130"/>
      <c r="J542" s="131"/>
      <c r="K542" s="131"/>
      <c r="L542" s="131"/>
      <c r="M542" s="130"/>
      <c r="N542" s="131"/>
      <c r="O542" s="130"/>
      <c r="R542" s="133"/>
      <c r="S542" s="134"/>
    </row>
    <row r="543" spans="2:19" s="132" customFormat="1" x14ac:dyDescent="0.45">
      <c r="B543" s="129"/>
      <c r="C543" s="129"/>
      <c r="D543" s="130"/>
      <c r="E543" s="130"/>
      <c r="F543" s="130"/>
      <c r="G543" s="130"/>
      <c r="H543" s="130"/>
      <c r="I543" s="130"/>
      <c r="J543" s="131"/>
      <c r="K543" s="131"/>
      <c r="L543" s="131"/>
      <c r="M543" s="130"/>
      <c r="N543" s="131"/>
      <c r="O543" s="130"/>
      <c r="R543" s="133"/>
      <c r="S543" s="134"/>
    </row>
    <row r="544" spans="2:19" s="132" customFormat="1" x14ac:dyDescent="0.45">
      <c r="B544" s="129"/>
      <c r="C544" s="129"/>
      <c r="D544" s="130"/>
      <c r="E544" s="130"/>
      <c r="F544" s="130"/>
      <c r="G544" s="130"/>
      <c r="H544" s="130"/>
      <c r="I544" s="130"/>
      <c r="J544" s="131"/>
      <c r="K544" s="131"/>
      <c r="L544" s="131"/>
      <c r="M544" s="130"/>
      <c r="N544" s="131"/>
      <c r="O544" s="130"/>
      <c r="R544" s="133"/>
      <c r="S544" s="134"/>
    </row>
    <row r="545" spans="2:19" s="132" customFormat="1" x14ac:dyDescent="0.45">
      <c r="B545" s="129"/>
      <c r="C545" s="129"/>
      <c r="D545" s="130"/>
      <c r="E545" s="130"/>
      <c r="F545" s="130"/>
      <c r="G545" s="130"/>
      <c r="H545" s="130"/>
      <c r="I545" s="130"/>
      <c r="J545" s="131"/>
      <c r="K545" s="131"/>
      <c r="L545" s="131"/>
      <c r="M545" s="130"/>
      <c r="N545" s="131"/>
      <c r="O545" s="130"/>
      <c r="R545" s="133"/>
      <c r="S545" s="134"/>
    </row>
    <row r="546" spans="2:19" s="132" customFormat="1" x14ac:dyDescent="0.45">
      <c r="B546" s="129"/>
      <c r="C546" s="129"/>
      <c r="D546" s="130"/>
      <c r="E546" s="130"/>
      <c r="F546" s="130"/>
      <c r="G546" s="130"/>
      <c r="H546" s="130"/>
      <c r="I546" s="130"/>
      <c r="J546" s="131"/>
      <c r="K546" s="131"/>
      <c r="L546" s="131"/>
      <c r="M546" s="130"/>
      <c r="N546" s="131"/>
      <c r="O546" s="130"/>
      <c r="R546" s="133"/>
      <c r="S546" s="134"/>
    </row>
    <row r="547" spans="2:19" s="132" customFormat="1" x14ac:dyDescent="0.45">
      <c r="B547" s="129"/>
      <c r="C547" s="129"/>
      <c r="D547" s="130"/>
      <c r="E547" s="130"/>
      <c r="F547" s="130"/>
      <c r="G547" s="130"/>
      <c r="H547" s="130"/>
      <c r="I547" s="130"/>
      <c r="J547" s="131"/>
      <c r="K547" s="131"/>
      <c r="L547" s="131"/>
      <c r="M547" s="130"/>
      <c r="N547" s="131"/>
      <c r="O547" s="130"/>
      <c r="R547" s="133"/>
      <c r="S547" s="134"/>
    </row>
    <row r="548" spans="2:19" s="132" customFormat="1" x14ac:dyDescent="0.45">
      <c r="B548" s="129"/>
      <c r="C548" s="129"/>
      <c r="D548" s="130"/>
      <c r="E548" s="130"/>
      <c r="F548" s="130"/>
      <c r="G548" s="130"/>
      <c r="H548" s="130"/>
      <c r="I548" s="130"/>
      <c r="J548" s="131"/>
      <c r="K548" s="131"/>
      <c r="L548" s="131"/>
      <c r="M548" s="130"/>
      <c r="N548" s="131"/>
      <c r="O548" s="130"/>
      <c r="R548" s="133"/>
      <c r="S548" s="134"/>
    </row>
    <row r="549" spans="2:19" s="132" customFormat="1" x14ac:dyDescent="0.45">
      <c r="B549" s="129"/>
      <c r="C549" s="129"/>
      <c r="D549" s="130"/>
      <c r="E549" s="130"/>
      <c r="F549" s="130"/>
      <c r="G549" s="130"/>
      <c r="H549" s="130"/>
      <c r="I549" s="130"/>
      <c r="J549" s="131"/>
      <c r="K549" s="131"/>
      <c r="L549" s="131"/>
      <c r="M549" s="130"/>
      <c r="N549" s="131"/>
      <c r="O549" s="130"/>
      <c r="R549" s="133"/>
      <c r="S549" s="134"/>
    </row>
    <row r="550" spans="2:19" s="132" customFormat="1" x14ac:dyDescent="0.45">
      <c r="B550" s="129"/>
      <c r="C550" s="129"/>
      <c r="D550" s="130"/>
      <c r="E550" s="130"/>
      <c r="F550" s="130"/>
      <c r="G550" s="130"/>
      <c r="H550" s="130"/>
      <c r="I550" s="130"/>
      <c r="J550" s="131"/>
      <c r="K550" s="131"/>
      <c r="L550" s="131"/>
      <c r="M550" s="130"/>
      <c r="N550" s="131"/>
      <c r="O550" s="130"/>
      <c r="R550" s="133"/>
      <c r="S550" s="134"/>
    </row>
    <row r="551" spans="2:19" s="132" customFormat="1" x14ac:dyDescent="0.45">
      <c r="B551" s="129"/>
      <c r="C551" s="129"/>
      <c r="D551" s="130"/>
      <c r="E551" s="130"/>
      <c r="F551" s="130"/>
      <c r="G551" s="130"/>
      <c r="H551" s="130"/>
      <c r="I551" s="130"/>
      <c r="J551" s="131"/>
      <c r="K551" s="131"/>
      <c r="L551" s="131"/>
      <c r="M551" s="130"/>
      <c r="N551" s="131"/>
      <c r="O551" s="130"/>
      <c r="R551" s="133"/>
      <c r="S551" s="134"/>
    </row>
    <row r="552" spans="2:19" s="132" customFormat="1" x14ac:dyDescent="0.45">
      <c r="B552" s="129"/>
      <c r="C552" s="129"/>
      <c r="D552" s="130"/>
      <c r="E552" s="130"/>
      <c r="F552" s="130"/>
      <c r="G552" s="130"/>
      <c r="H552" s="130"/>
      <c r="I552" s="130"/>
      <c r="J552" s="131"/>
      <c r="K552" s="131"/>
      <c r="L552" s="131"/>
      <c r="M552" s="130"/>
      <c r="N552" s="131"/>
      <c r="O552" s="130"/>
      <c r="R552" s="133"/>
      <c r="S552" s="134"/>
    </row>
    <row r="553" spans="2:19" s="132" customFormat="1" x14ac:dyDescent="0.45">
      <c r="B553" s="129"/>
      <c r="C553" s="129"/>
      <c r="D553" s="130"/>
      <c r="E553" s="130"/>
      <c r="F553" s="130"/>
      <c r="G553" s="130"/>
      <c r="H553" s="130"/>
      <c r="I553" s="130"/>
      <c r="J553" s="131"/>
      <c r="K553" s="131"/>
      <c r="L553" s="131"/>
      <c r="M553" s="130"/>
      <c r="N553" s="131"/>
      <c r="O553" s="130"/>
      <c r="R553" s="133"/>
      <c r="S553" s="134"/>
    </row>
    <row r="554" spans="2:19" s="132" customFormat="1" x14ac:dyDescent="0.45">
      <c r="B554" s="129"/>
      <c r="C554" s="129"/>
      <c r="D554" s="130"/>
      <c r="E554" s="130"/>
      <c r="F554" s="130"/>
      <c r="G554" s="130"/>
      <c r="H554" s="130"/>
      <c r="I554" s="130"/>
      <c r="J554" s="131"/>
      <c r="K554" s="131"/>
      <c r="L554" s="131"/>
      <c r="M554" s="130"/>
      <c r="N554" s="131"/>
      <c r="O554" s="130"/>
      <c r="R554" s="133"/>
      <c r="S554" s="134"/>
    </row>
    <row r="555" spans="2:19" s="132" customFormat="1" x14ac:dyDescent="0.45">
      <c r="B555" s="129"/>
      <c r="C555" s="129"/>
      <c r="D555" s="130"/>
      <c r="E555" s="130"/>
      <c r="F555" s="130"/>
      <c r="G555" s="130"/>
      <c r="H555" s="130"/>
      <c r="I555" s="130"/>
      <c r="J555" s="131"/>
      <c r="K555" s="131"/>
      <c r="L555" s="131"/>
      <c r="M555" s="130"/>
      <c r="N555" s="131"/>
      <c r="O555" s="130"/>
      <c r="R555" s="133"/>
      <c r="S555" s="134"/>
    </row>
    <row r="556" spans="2:19" s="132" customFormat="1" x14ac:dyDescent="0.45">
      <c r="B556" s="129"/>
      <c r="C556" s="129"/>
      <c r="D556" s="130"/>
      <c r="E556" s="130"/>
      <c r="F556" s="130"/>
      <c r="G556" s="130"/>
      <c r="H556" s="130"/>
      <c r="I556" s="130"/>
      <c r="J556" s="131"/>
      <c r="K556" s="131"/>
      <c r="L556" s="131"/>
      <c r="M556" s="130"/>
      <c r="N556" s="131"/>
      <c r="O556" s="130"/>
      <c r="R556" s="133"/>
      <c r="S556" s="134"/>
    </row>
    <row r="557" spans="2:19" s="132" customFormat="1" x14ac:dyDescent="0.45">
      <c r="B557" s="129"/>
      <c r="C557" s="129"/>
      <c r="D557" s="130"/>
      <c r="E557" s="130"/>
      <c r="F557" s="130"/>
      <c r="G557" s="130"/>
      <c r="H557" s="130"/>
      <c r="I557" s="130"/>
      <c r="J557" s="131"/>
      <c r="K557" s="131"/>
      <c r="L557" s="131"/>
      <c r="M557" s="130"/>
      <c r="N557" s="131"/>
      <c r="O557" s="130"/>
      <c r="R557" s="133"/>
      <c r="S557" s="134"/>
    </row>
    <row r="558" spans="2:19" s="132" customFormat="1" x14ac:dyDescent="0.45">
      <c r="B558" s="129"/>
      <c r="C558" s="129"/>
      <c r="D558" s="130"/>
      <c r="E558" s="130"/>
      <c r="F558" s="130"/>
      <c r="G558" s="130"/>
      <c r="H558" s="130"/>
      <c r="I558" s="130"/>
      <c r="J558" s="131"/>
      <c r="K558" s="131"/>
      <c r="L558" s="131"/>
      <c r="M558" s="130"/>
      <c r="N558" s="131"/>
      <c r="O558" s="130"/>
      <c r="R558" s="133"/>
      <c r="S558" s="134"/>
    </row>
    <row r="559" spans="2:19" s="132" customFormat="1" x14ac:dyDescent="0.45">
      <c r="B559" s="129"/>
      <c r="C559" s="129"/>
      <c r="D559" s="130"/>
      <c r="E559" s="130"/>
      <c r="F559" s="130"/>
      <c r="G559" s="130"/>
      <c r="H559" s="130"/>
      <c r="I559" s="130"/>
      <c r="J559" s="131"/>
      <c r="K559" s="131"/>
      <c r="L559" s="131"/>
      <c r="M559" s="130"/>
      <c r="N559" s="131"/>
      <c r="O559" s="130"/>
      <c r="R559" s="133"/>
      <c r="S559" s="134"/>
    </row>
    <row r="560" spans="2:19" s="132" customFormat="1" x14ac:dyDescent="0.45">
      <c r="B560" s="129"/>
      <c r="C560" s="129"/>
      <c r="D560" s="130"/>
      <c r="E560" s="130"/>
      <c r="F560" s="130"/>
      <c r="G560" s="130"/>
      <c r="H560" s="130"/>
      <c r="I560" s="130"/>
      <c r="J560" s="131"/>
      <c r="K560" s="131"/>
      <c r="L560" s="131"/>
      <c r="M560" s="130"/>
      <c r="N560" s="131"/>
      <c r="O560" s="130"/>
      <c r="R560" s="133"/>
      <c r="S560" s="134"/>
    </row>
    <row r="561" spans="2:19" s="132" customFormat="1" x14ac:dyDescent="0.45">
      <c r="B561" s="129"/>
      <c r="C561" s="129"/>
      <c r="D561" s="130"/>
      <c r="E561" s="130"/>
      <c r="F561" s="130"/>
      <c r="G561" s="130"/>
      <c r="H561" s="130"/>
      <c r="I561" s="130"/>
      <c r="J561" s="131"/>
      <c r="K561" s="131"/>
      <c r="L561" s="131"/>
      <c r="M561" s="130"/>
      <c r="N561" s="131"/>
      <c r="O561" s="130"/>
      <c r="R561" s="133"/>
      <c r="S561" s="134"/>
    </row>
  </sheetData>
  <sheetProtection algorithmName="SHA-512" hashValue="NZAPxa5z10Vq63afHZLQ+iuFNa+57H/4nYeNtW28f/m+MQj9rVnVzhtZhzoEuCZFuLq9EaRj/orgShFksXZo0Q==" saltValue="5Mmol4iXErk95YGN+BRPew==" spinCount="100000" sheet="1" formatCells="0" formatColumns="0" formatRows="0" sort="0" autoFilter="0"/>
  <autoFilter ref="A11:W11" xr:uid="{00000000-0009-0000-0000-000002000000}">
    <sortState xmlns:xlrd2="http://schemas.microsoft.com/office/spreadsheetml/2017/richdata2" ref="A12:W486">
      <sortCondition ref="B11"/>
    </sortState>
  </autoFilter>
  <sortState xmlns:xlrd2="http://schemas.microsoft.com/office/spreadsheetml/2017/richdata2" ref="B16:Z486">
    <sortCondition ref="B16:B486"/>
  </sortState>
  <mergeCells count="1">
    <mergeCell ref="A1:C1"/>
  </mergeCells>
  <conditionalFormatting sqref="A8:O8">
    <cfRule type="expression" dxfId="768" priority="14313">
      <formula>$Q$9</formula>
    </cfRule>
  </conditionalFormatting>
  <conditionalFormatting sqref="B8:C8">
    <cfRule type="expression" dxfId="767" priority="14312" stopIfTrue="1">
      <formula>$S$9</formula>
    </cfRule>
  </conditionalFormatting>
  <conditionalFormatting sqref="B12:O12">
    <cfRule type="expression" dxfId="766" priority="550">
      <formula>$R$12</formula>
    </cfRule>
  </conditionalFormatting>
  <conditionalFormatting sqref="B13:O13">
    <cfRule type="expression" dxfId="765" priority="549">
      <formula>$R$13</formula>
    </cfRule>
  </conditionalFormatting>
  <conditionalFormatting sqref="B14:O14">
    <cfRule type="expression" dxfId="764" priority="548">
      <formula>$R$14</formula>
    </cfRule>
  </conditionalFormatting>
  <conditionalFormatting sqref="B15:O15">
    <cfRule type="expression" dxfId="763" priority="547">
      <formula>$R$15</formula>
    </cfRule>
  </conditionalFormatting>
  <conditionalFormatting sqref="B16:O16">
    <cfRule type="expression" dxfId="762" priority="546">
      <formula>$R$16</formula>
    </cfRule>
  </conditionalFormatting>
  <conditionalFormatting sqref="B17:O17">
    <cfRule type="expression" dxfId="761" priority="545">
      <formula>$R$17</formula>
    </cfRule>
  </conditionalFormatting>
  <conditionalFormatting sqref="B18:O18">
    <cfRule type="expression" dxfId="760" priority="544">
      <formula>$R$18</formula>
    </cfRule>
  </conditionalFormatting>
  <conditionalFormatting sqref="B19:O19">
    <cfRule type="expression" dxfId="759" priority="543">
      <formula>$R$19</formula>
    </cfRule>
  </conditionalFormatting>
  <conditionalFormatting sqref="B20:O20">
    <cfRule type="expression" dxfId="758" priority="542">
      <formula>$R$20</formula>
    </cfRule>
  </conditionalFormatting>
  <conditionalFormatting sqref="B21:O21">
    <cfRule type="expression" dxfId="757" priority="541">
      <formula>$R$21</formula>
    </cfRule>
  </conditionalFormatting>
  <conditionalFormatting sqref="B22:O22">
    <cfRule type="expression" dxfId="756" priority="540">
      <formula>$R$22</formula>
    </cfRule>
  </conditionalFormatting>
  <conditionalFormatting sqref="B23:O23">
    <cfRule type="expression" dxfId="755" priority="539">
      <formula>$R$23</formula>
    </cfRule>
  </conditionalFormatting>
  <conditionalFormatting sqref="B24:O24">
    <cfRule type="expression" dxfId="754" priority="538">
      <formula>$R$24</formula>
    </cfRule>
  </conditionalFormatting>
  <conditionalFormatting sqref="B25:O25">
    <cfRule type="expression" dxfId="753" priority="537">
      <formula>$R$25</formula>
    </cfRule>
  </conditionalFormatting>
  <conditionalFormatting sqref="B26:O26">
    <cfRule type="expression" dxfId="752" priority="536">
      <formula>$R$26</formula>
    </cfRule>
  </conditionalFormatting>
  <conditionalFormatting sqref="B27:O27">
    <cfRule type="expression" dxfId="751" priority="535">
      <formula>$R$27</formula>
    </cfRule>
  </conditionalFormatting>
  <conditionalFormatting sqref="B28:O28">
    <cfRule type="expression" dxfId="750" priority="534">
      <formula>$R$28</formula>
    </cfRule>
  </conditionalFormatting>
  <conditionalFormatting sqref="B29:O29">
    <cfRule type="expression" dxfId="749" priority="533">
      <formula>$R$29</formula>
    </cfRule>
  </conditionalFormatting>
  <conditionalFormatting sqref="B30:O30">
    <cfRule type="expression" dxfId="748" priority="532">
      <formula>$R$30</formula>
    </cfRule>
  </conditionalFormatting>
  <conditionalFormatting sqref="B31:O31">
    <cfRule type="expression" dxfId="747" priority="531">
      <formula>$R$31</formula>
    </cfRule>
  </conditionalFormatting>
  <conditionalFormatting sqref="B32:O32">
    <cfRule type="expression" dxfId="746" priority="530">
      <formula>$R$32</formula>
    </cfRule>
  </conditionalFormatting>
  <conditionalFormatting sqref="B33:O33">
    <cfRule type="expression" dxfId="745" priority="529">
      <formula>$R$33</formula>
    </cfRule>
  </conditionalFormatting>
  <conditionalFormatting sqref="B34:O34">
    <cfRule type="expression" dxfId="744" priority="528">
      <formula>$R$34</formula>
    </cfRule>
  </conditionalFormatting>
  <conditionalFormatting sqref="B35:O35">
    <cfRule type="expression" dxfId="743" priority="527">
      <formula>$R$35</formula>
    </cfRule>
  </conditionalFormatting>
  <conditionalFormatting sqref="B36:O36">
    <cfRule type="expression" dxfId="742" priority="526">
      <formula>$R$36</formula>
    </cfRule>
  </conditionalFormatting>
  <conditionalFormatting sqref="B37:O37">
    <cfRule type="expression" dxfId="741" priority="525">
      <formula>$R$37</formula>
    </cfRule>
  </conditionalFormatting>
  <conditionalFormatting sqref="B38:O38">
    <cfRule type="expression" dxfId="740" priority="524">
      <formula>$R$38</formula>
    </cfRule>
  </conditionalFormatting>
  <conditionalFormatting sqref="B39:O39">
    <cfRule type="expression" dxfId="739" priority="523">
      <formula>$R$39</formula>
    </cfRule>
  </conditionalFormatting>
  <conditionalFormatting sqref="B40:O40">
    <cfRule type="expression" dxfId="738" priority="522">
      <formula>$R$40</formula>
    </cfRule>
  </conditionalFormatting>
  <conditionalFormatting sqref="B41:O41">
    <cfRule type="expression" dxfId="737" priority="521">
      <formula>$R$41</formula>
    </cfRule>
  </conditionalFormatting>
  <conditionalFormatting sqref="B42:O42">
    <cfRule type="expression" dxfId="736" priority="520">
      <formula>$R$42</formula>
    </cfRule>
  </conditionalFormatting>
  <conditionalFormatting sqref="B43:O43">
    <cfRule type="expression" dxfId="735" priority="519">
      <formula>$R$43</formula>
    </cfRule>
  </conditionalFormatting>
  <conditionalFormatting sqref="B44:O44">
    <cfRule type="expression" dxfId="734" priority="518">
      <formula>$R$44</formula>
    </cfRule>
  </conditionalFormatting>
  <conditionalFormatting sqref="B45:O45">
    <cfRule type="expression" dxfId="733" priority="517">
      <formula>$R$45</formula>
    </cfRule>
  </conditionalFormatting>
  <conditionalFormatting sqref="B46:O46">
    <cfRule type="expression" dxfId="732" priority="516">
      <formula>$R$46</formula>
    </cfRule>
  </conditionalFormatting>
  <conditionalFormatting sqref="B47:O47">
    <cfRule type="expression" dxfId="731" priority="515">
      <formula>$R$47</formula>
    </cfRule>
  </conditionalFormatting>
  <conditionalFormatting sqref="B48:O48">
    <cfRule type="expression" dxfId="730" priority="514">
      <formula>$R$48</formula>
    </cfRule>
  </conditionalFormatting>
  <conditionalFormatting sqref="B49:O49">
    <cfRule type="expression" dxfId="729" priority="513">
      <formula>$R$49</formula>
    </cfRule>
  </conditionalFormatting>
  <conditionalFormatting sqref="B50:O50">
    <cfRule type="expression" dxfId="728" priority="512">
      <formula>$R$50</formula>
    </cfRule>
  </conditionalFormatting>
  <conditionalFormatting sqref="B51:O51">
    <cfRule type="expression" dxfId="727" priority="511">
      <formula>$R$51</formula>
    </cfRule>
  </conditionalFormatting>
  <conditionalFormatting sqref="B52:O52">
    <cfRule type="expression" dxfId="726" priority="510">
      <formula>$R$52</formula>
    </cfRule>
  </conditionalFormatting>
  <conditionalFormatting sqref="B53:O53">
    <cfRule type="expression" dxfId="725" priority="509">
      <formula>$R$53</formula>
    </cfRule>
  </conditionalFormatting>
  <conditionalFormatting sqref="B54:O54">
    <cfRule type="expression" dxfId="724" priority="508">
      <formula>$R$54</formula>
    </cfRule>
  </conditionalFormatting>
  <conditionalFormatting sqref="B55:O55">
    <cfRule type="expression" dxfId="723" priority="507">
      <formula>$R$55</formula>
    </cfRule>
  </conditionalFormatting>
  <conditionalFormatting sqref="B56:O56">
    <cfRule type="expression" dxfId="722" priority="506">
      <formula>$R$56</formula>
    </cfRule>
  </conditionalFormatting>
  <conditionalFormatting sqref="B57:O57">
    <cfRule type="expression" dxfId="721" priority="505">
      <formula>$R$57</formula>
    </cfRule>
  </conditionalFormatting>
  <conditionalFormatting sqref="B58:O58">
    <cfRule type="expression" dxfId="720" priority="504">
      <formula>$R$58</formula>
    </cfRule>
  </conditionalFormatting>
  <conditionalFormatting sqref="B59:O59">
    <cfRule type="expression" dxfId="719" priority="503">
      <formula>$R$59</formula>
    </cfRule>
  </conditionalFormatting>
  <conditionalFormatting sqref="B60:O60">
    <cfRule type="expression" dxfId="718" priority="502">
      <formula>$R$60</formula>
    </cfRule>
  </conditionalFormatting>
  <conditionalFormatting sqref="B61:O61">
    <cfRule type="expression" dxfId="717" priority="501">
      <formula>$R$61</formula>
    </cfRule>
  </conditionalFormatting>
  <conditionalFormatting sqref="B62:O62">
    <cfRule type="expression" dxfId="716" priority="500">
      <formula>$R$62</formula>
    </cfRule>
  </conditionalFormatting>
  <conditionalFormatting sqref="B63:O63">
    <cfRule type="expression" dxfId="715" priority="499">
      <formula>$R$63</formula>
    </cfRule>
  </conditionalFormatting>
  <conditionalFormatting sqref="B64:O64">
    <cfRule type="expression" dxfId="714" priority="498">
      <formula>$R$64</formula>
    </cfRule>
  </conditionalFormatting>
  <conditionalFormatting sqref="B65:O65">
    <cfRule type="expression" dxfId="713" priority="497">
      <formula>$R$65</formula>
    </cfRule>
  </conditionalFormatting>
  <conditionalFormatting sqref="B66:O66">
    <cfRule type="expression" dxfId="712" priority="496">
      <formula>$R$66</formula>
    </cfRule>
  </conditionalFormatting>
  <conditionalFormatting sqref="B67:O67">
    <cfRule type="expression" dxfId="711" priority="495">
      <formula>$R$67</formula>
    </cfRule>
  </conditionalFormatting>
  <conditionalFormatting sqref="B68:O68">
    <cfRule type="expression" dxfId="710" priority="494">
      <formula>$R$68</formula>
    </cfRule>
  </conditionalFormatting>
  <conditionalFormatting sqref="B69:O69">
    <cfRule type="expression" dxfId="709" priority="493">
      <formula>$R$69</formula>
    </cfRule>
  </conditionalFormatting>
  <conditionalFormatting sqref="B70:O70">
    <cfRule type="expression" dxfId="708" priority="492">
      <formula>$R$70</formula>
    </cfRule>
  </conditionalFormatting>
  <conditionalFormatting sqref="B71:O71">
    <cfRule type="expression" dxfId="707" priority="491">
      <formula>$R$71</formula>
    </cfRule>
  </conditionalFormatting>
  <conditionalFormatting sqref="B72:O72">
    <cfRule type="expression" dxfId="706" priority="490">
      <formula>$R$72</formula>
    </cfRule>
  </conditionalFormatting>
  <conditionalFormatting sqref="B73:O73">
    <cfRule type="expression" dxfId="705" priority="489">
      <formula>$R$73</formula>
    </cfRule>
  </conditionalFormatting>
  <conditionalFormatting sqref="B74:O74">
    <cfRule type="expression" dxfId="704" priority="488">
      <formula>$R$74</formula>
    </cfRule>
  </conditionalFormatting>
  <conditionalFormatting sqref="B75:O75">
    <cfRule type="expression" dxfId="703" priority="487">
      <formula>$R$75</formula>
    </cfRule>
  </conditionalFormatting>
  <conditionalFormatting sqref="B76:O76">
    <cfRule type="expression" dxfId="702" priority="486">
      <formula>$R$76</formula>
    </cfRule>
  </conditionalFormatting>
  <conditionalFormatting sqref="B77:O77">
    <cfRule type="expression" dxfId="701" priority="485">
      <formula>$R$77</formula>
    </cfRule>
  </conditionalFormatting>
  <conditionalFormatting sqref="B78:O78">
    <cfRule type="expression" dxfId="700" priority="484">
      <formula>$R$78</formula>
    </cfRule>
  </conditionalFormatting>
  <conditionalFormatting sqref="B79:O79">
    <cfRule type="expression" dxfId="699" priority="483">
      <formula>$R$79</formula>
    </cfRule>
  </conditionalFormatting>
  <conditionalFormatting sqref="B80:O80">
    <cfRule type="expression" dxfId="698" priority="482">
      <formula>$R$80</formula>
    </cfRule>
  </conditionalFormatting>
  <conditionalFormatting sqref="B81:O81">
    <cfRule type="expression" dxfId="697" priority="481">
      <formula>$R$81</formula>
    </cfRule>
  </conditionalFormatting>
  <conditionalFormatting sqref="B82:O82">
    <cfRule type="expression" dxfId="696" priority="480">
      <formula>$R$82</formula>
    </cfRule>
  </conditionalFormatting>
  <conditionalFormatting sqref="B83:O83">
    <cfRule type="expression" dxfId="695" priority="479">
      <formula>$R$83</formula>
    </cfRule>
  </conditionalFormatting>
  <conditionalFormatting sqref="B84:O84">
    <cfRule type="expression" dxfId="694" priority="478">
      <formula>$R$84</formula>
    </cfRule>
  </conditionalFormatting>
  <conditionalFormatting sqref="B85:O85">
    <cfRule type="expression" dxfId="693" priority="477">
      <formula>$R$85</formula>
    </cfRule>
  </conditionalFormatting>
  <conditionalFormatting sqref="B86:O86">
    <cfRule type="expression" dxfId="692" priority="476">
      <formula>$R$86</formula>
    </cfRule>
  </conditionalFormatting>
  <conditionalFormatting sqref="B87:O87">
    <cfRule type="expression" dxfId="691" priority="475">
      <formula>$R$87</formula>
    </cfRule>
  </conditionalFormatting>
  <conditionalFormatting sqref="B88:O88">
    <cfRule type="expression" dxfId="690" priority="474">
      <formula>$R$88</formula>
    </cfRule>
  </conditionalFormatting>
  <conditionalFormatting sqref="B89:O89">
    <cfRule type="expression" dxfId="689" priority="473">
      <formula>$R$89</formula>
    </cfRule>
  </conditionalFormatting>
  <conditionalFormatting sqref="B90:O90">
    <cfRule type="expression" dxfId="688" priority="472">
      <formula>$R$90</formula>
    </cfRule>
  </conditionalFormatting>
  <conditionalFormatting sqref="B91:O91">
    <cfRule type="expression" dxfId="687" priority="471">
      <formula>$R$91</formula>
    </cfRule>
  </conditionalFormatting>
  <conditionalFormatting sqref="B92:O92">
    <cfRule type="expression" dxfId="686" priority="470">
      <formula>$R$92</formula>
    </cfRule>
  </conditionalFormatting>
  <conditionalFormatting sqref="B93:O93">
    <cfRule type="expression" dxfId="685" priority="469">
      <formula>$R$93</formula>
    </cfRule>
  </conditionalFormatting>
  <conditionalFormatting sqref="B94:O94">
    <cfRule type="expression" dxfId="684" priority="468">
      <formula>$R$94</formula>
    </cfRule>
  </conditionalFormatting>
  <conditionalFormatting sqref="B95:O95">
    <cfRule type="expression" dxfId="683" priority="467">
      <formula>$R$95</formula>
    </cfRule>
  </conditionalFormatting>
  <conditionalFormatting sqref="B96:O96">
    <cfRule type="expression" dxfId="682" priority="466">
      <formula>$R$96</formula>
    </cfRule>
  </conditionalFormatting>
  <conditionalFormatting sqref="B97:O97">
    <cfRule type="expression" dxfId="681" priority="465">
      <formula>$R$97</formula>
    </cfRule>
  </conditionalFormatting>
  <conditionalFormatting sqref="B98:O98">
    <cfRule type="expression" dxfId="680" priority="464">
      <formula>$R$98</formula>
    </cfRule>
  </conditionalFormatting>
  <conditionalFormatting sqref="B99:O99">
    <cfRule type="expression" dxfId="679" priority="463">
      <formula>$R$99</formula>
    </cfRule>
  </conditionalFormatting>
  <conditionalFormatting sqref="B100:O100">
    <cfRule type="expression" dxfId="678" priority="462">
      <formula>$R$100</formula>
    </cfRule>
  </conditionalFormatting>
  <conditionalFormatting sqref="B101:O101">
    <cfRule type="expression" dxfId="677" priority="461">
      <formula>$R$101</formula>
    </cfRule>
  </conditionalFormatting>
  <conditionalFormatting sqref="B102:O102">
    <cfRule type="expression" dxfId="676" priority="460">
      <formula>$R$102</formula>
    </cfRule>
  </conditionalFormatting>
  <conditionalFormatting sqref="B103:O103">
    <cfRule type="expression" dxfId="675" priority="459">
      <formula>$R$103</formula>
    </cfRule>
  </conditionalFormatting>
  <conditionalFormatting sqref="B104:O104">
    <cfRule type="expression" dxfId="674" priority="458">
      <formula>$R$104</formula>
    </cfRule>
  </conditionalFormatting>
  <conditionalFormatting sqref="B105:O105">
    <cfRule type="expression" dxfId="673" priority="457">
      <formula>$R$105</formula>
    </cfRule>
  </conditionalFormatting>
  <conditionalFormatting sqref="B106:O106">
    <cfRule type="expression" dxfId="672" priority="456">
      <formula>$R$106</formula>
    </cfRule>
  </conditionalFormatting>
  <conditionalFormatting sqref="B107:O107">
    <cfRule type="expression" dxfId="671" priority="455">
      <formula>$R$107</formula>
    </cfRule>
  </conditionalFormatting>
  <conditionalFormatting sqref="B108:O108">
    <cfRule type="expression" dxfId="670" priority="454">
      <formula>$R$108</formula>
    </cfRule>
  </conditionalFormatting>
  <conditionalFormatting sqref="B109:O109">
    <cfRule type="expression" dxfId="669" priority="453">
      <formula>$R$109</formula>
    </cfRule>
  </conditionalFormatting>
  <conditionalFormatting sqref="B110:O110">
    <cfRule type="expression" dxfId="668" priority="452">
      <formula>$R$110</formula>
    </cfRule>
  </conditionalFormatting>
  <conditionalFormatting sqref="B111:O111">
    <cfRule type="expression" dxfId="667" priority="451">
      <formula>$R$111</formula>
    </cfRule>
  </conditionalFormatting>
  <conditionalFormatting sqref="B112:O112">
    <cfRule type="expression" dxfId="666" priority="450">
      <formula>$R$112</formula>
    </cfRule>
  </conditionalFormatting>
  <conditionalFormatting sqref="B113:O113">
    <cfRule type="expression" dxfId="665" priority="449">
      <formula>$R$113</formula>
    </cfRule>
  </conditionalFormatting>
  <conditionalFormatting sqref="B114:O114">
    <cfRule type="expression" dxfId="664" priority="448">
      <formula>$R$114</formula>
    </cfRule>
  </conditionalFormatting>
  <conditionalFormatting sqref="B115:O115">
    <cfRule type="expression" dxfId="663" priority="447">
      <formula>$R$115</formula>
    </cfRule>
  </conditionalFormatting>
  <conditionalFormatting sqref="B116:O116">
    <cfRule type="expression" dxfId="662" priority="446">
      <formula>$R$116</formula>
    </cfRule>
  </conditionalFormatting>
  <conditionalFormatting sqref="B117:O117">
    <cfRule type="expression" dxfId="661" priority="445">
      <formula>$R$117</formula>
    </cfRule>
  </conditionalFormatting>
  <conditionalFormatting sqref="B118:O118">
    <cfRule type="expression" dxfId="660" priority="444">
      <formula>$R$118</formula>
    </cfRule>
  </conditionalFormatting>
  <conditionalFormatting sqref="B119:O119">
    <cfRule type="expression" dxfId="659" priority="443">
      <formula>$R$119</formula>
    </cfRule>
  </conditionalFormatting>
  <conditionalFormatting sqref="B120:O120">
    <cfRule type="expression" dxfId="658" priority="442">
      <formula>$R$120</formula>
    </cfRule>
  </conditionalFormatting>
  <conditionalFormatting sqref="B121:O121">
    <cfRule type="expression" dxfId="657" priority="441">
      <formula>$R$121</formula>
    </cfRule>
  </conditionalFormatting>
  <conditionalFormatting sqref="B122:O122">
    <cfRule type="expression" dxfId="656" priority="440">
      <formula>$R$122</formula>
    </cfRule>
  </conditionalFormatting>
  <conditionalFormatting sqref="B123:O123">
    <cfRule type="expression" dxfId="655" priority="439">
      <formula>$R$123</formula>
    </cfRule>
  </conditionalFormatting>
  <conditionalFormatting sqref="B124:O124">
    <cfRule type="expression" dxfId="654" priority="438">
      <formula>$R$124</formula>
    </cfRule>
  </conditionalFormatting>
  <conditionalFormatting sqref="B125:O125">
    <cfRule type="expression" dxfId="653" priority="437">
      <formula>$R$125</formula>
    </cfRule>
  </conditionalFormatting>
  <conditionalFormatting sqref="B126:O126">
    <cfRule type="expression" dxfId="652" priority="436">
      <formula>$R$126</formula>
    </cfRule>
  </conditionalFormatting>
  <conditionalFormatting sqref="B127:O127">
    <cfRule type="expression" dxfId="651" priority="435">
      <formula>$R$127</formula>
    </cfRule>
  </conditionalFormatting>
  <conditionalFormatting sqref="B128:O128">
    <cfRule type="expression" dxfId="650" priority="434">
      <formula>$R$128</formula>
    </cfRule>
  </conditionalFormatting>
  <conditionalFormatting sqref="B129:O129">
    <cfRule type="expression" dxfId="649" priority="433">
      <formula>$R$129</formula>
    </cfRule>
  </conditionalFormatting>
  <conditionalFormatting sqref="B130:O130">
    <cfRule type="expression" dxfId="648" priority="432">
      <formula>$R$130</formula>
    </cfRule>
  </conditionalFormatting>
  <conditionalFormatting sqref="B131:O131">
    <cfRule type="expression" dxfId="647" priority="431">
      <formula>$R$131</formula>
    </cfRule>
  </conditionalFormatting>
  <conditionalFormatting sqref="B132:O132">
    <cfRule type="expression" dxfId="646" priority="430">
      <formula>$R$132</formula>
    </cfRule>
  </conditionalFormatting>
  <conditionalFormatting sqref="B133:O133">
    <cfRule type="expression" dxfId="645" priority="429">
      <formula>$R$133</formula>
    </cfRule>
  </conditionalFormatting>
  <conditionalFormatting sqref="B134:O134">
    <cfRule type="expression" dxfId="644" priority="428">
      <formula>$R$134</formula>
    </cfRule>
  </conditionalFormatting>
  <conditionalFormatting sqref="B135:O135">
    <cfRule type="expression" dxfId="643" priority="427">
      <formula>$R$135</formula>
    </cfRule>
  </conditionalFormatting>
  <conditionalFormatting sqref="B136:O136">
    <cfRule type="expression" dxfId="642" priority="426">
      <formula>$R$136</formula>
    </cfRule>
  </conditionalFormatting>
  <conditionalFormatting sqref="B137:O137">
    <cfRule type="expression" dxfId="641" priority="425">
      <formula>$R$137</formula>
    </cfRule>
  </conditionalFormatting>
  <conditionalFormatting sqref="B138:O138">
    <cfRule type="expression" dxfId="640" priority="424">
      <formula>$R$138</formula>
    </cfRule>
  </conditionalFormatting>
  <conditionalFormatting sqref="B139:O139">
    <cfRule type="expression" dxfId="639" priority="423">
      <formula>$R$139</formula>
    </cfRule>
  </conditionalFormatting>
  <conditionalFormatting sqref="B140:O140">
    <cfRule type="expression" dxfId="638" priority="422">
      <formula>$R$140</formula>
    </cfRule>
  </conditionalFormatting>
  <conditionalFormatting sqref="B141:O141">
    <cfRule type="expression" dxfId="637" priority="421">
      <formula>$R$141</formula>
    </cfRule>
  </conditionalFormatting>
  <conditionalFormatting sqref="B142:O142">
    <cfRule type="expression" dxfId="636" priority="420">
      <formula>$R$142</formula>
    </cfRule>
  </conditionalFormatting>
  <conditionalFormatting sqref="B143:O143">
    <cfRule type="expression" dxfId="635" priority="419">
      <formula>$R$143</formula>
    </cfRule>
  </conditionalFormatting>
  <conditionalFormatting sqref="B144:O144">
    <cfRule type="expression" dxfId="634" priority="418">
      <formula>$R$144</formula>
    </cfRule>
  </conditionalFormatting>
  <conditionalFormatting sqref="B145:O145">
    <cfRule type="expression" dxfId="633" priority="417">
      <formula>$R$145</formula>
    </cfRule>
  </conditionalFormatting>
  <conditionalFormatting sqref="B146:O146">
    <cfRule type="expression" dxfId="632" priority="416">
      <formula>$R$146</formula>
    </cfRule>
  </conditionalFormatting>
  <conditionalFormatting sqref="B147:O147">
    <cfRule type="expression" dxfId="631" priority="415">
      <formula>$R$147</formula>
    </cfRule>
  </conditionalFormatting>
  <conditionalFormatting sqref="B148:O148">
    <cfRule type="expression" dxfId="630" priority="414">
      <formula>$R$148</formula>
    </cfRule>
  </conditionalFormatting>
  <conditionalFormatting sqref="B149:O149">
    <cfRule type="expression" dxfId="629" priority="413">
      <formula>$R$149</formula>
    </cfRule>
  </conditionalFormatting>
  <conditionalFormatting sqref="B150:O150">
    <cfRule type="expression" dxfId="628" priority="412">
      <formula>$R$150</formula>
    </cfRule>
  </conditionalFormatting>
  <conditionalFormatting sqref="B151:O151">
    <cfRule type="expression" dxfId="627" priority="411">
      <formula>$R$151</formula>
    </cfRule>
  </conditionalFormatting>
  <conditionalFormatting sqref="B152:O152">
    <cfRule type="expression" dxfId="626" priority="410">
      <formula>$R$152</formula>
    </cfRule>
  </conditionalFormatting>
  <conditionalFormatting sqref="B153:O153">
    <cfRule type="expression" dxfId="625" priority="409">
      <formula>$R$153</formula>
    </cfRule>
  </conditionalFormatting>
  <conditionalFormatting sqref="B154:O154">
    <cfRule type="expression" dxfId="624" priority="408">
      <formula>$R$154</formula>
    </cfRule>
  </conditionalFormatting>
  <conditionalFormatting sqref="B155:O155">
    <cfRule type="expression" dxfId="623" priority="407">
      <formula>$R$155</formula>
    </cfRule>
  </conditionalFormatting>
  <conditionalFormatting sqref="B156:O156">
    <cfRule type="expression" dxfId="622" priority="406">
      <formula>$R$156</formula>
    </cfRule>
  </conditionalFormatting>
  <conditionalFormatting sqref="B157:O157">
    <cfRule type="expression" dxfId="621" priority="405">
      <formula>$R$157</formula>
    </cfRule>
  </conditionalFormatting>
  <conditionalFormatting sqref="B158:O158">
    <cfRule type="expression" dxfId="620" priority="404">
      <formula>$R$158</formula>
    </cfRule>
  </conditionalFormatting>
  <conditionalFormatting sqref="B159:O159">
    <cfRule type="expression" dxfId="619" priority="403">
      <formula>$R$159</formula>
    </cfRule>
  </conditionalFormatting>
  <conditionalFormatting sqref="B160:O160">
    <cfRule type="expression" dxfId="618" priority="402">
      <formula>$R$160</formula>
    </cfRule>
  </conditionalFormatting>
  <conditionalFormatting sqref="B161:O161">
    <cfRule type="expression" dxfId="617" priority="401">
      <formula>$R$161</formula>
    </cfRule>
  </conditionalFormatting>
  <conditionalFormatting sqref="B162:O162">
    <cfRule type="expression" dxfId="616" priority="400">
      <formula>$R$162</formula>
    </cfRule>
  </conditionalFormatting>
  <conditionalFormatting sqref="B163:O163">
    <cfRule type="expression" dxfId="615" priority="399">
      <formula>$R$163</formula>
    </cfRule>
  </conditionalFormatting>
  <conditionalFormatting sqref="B164:O164">
    <cfRule type="expression" dxfId="614" priority="398">
      <formula>$R$164</formula>
    </cfRule>
  </conditionalFormatting>
  <conditionalFormatting sqref="B165:O165">
    <cfRule type="expression" dxfId="613" priority="397">
      <formula>$R$165</formula>
    </cfRule>
  </conditionalFormatting>
  <conditionalFormatting sqref="B166:O166">
    <cfRule type="expression" dxfId="612" priority="396">
      <formula>$R$166</formula>
    </cfRule>
  </conditionalFormatting>
  <conditionalFormatting sqref="B167:O167">
    <cfRule type="expression" dxfId="611" priority="395">
      <formula>$R$167</formula>
    </cfRule>
  </conditionalFormatting>
  <conditionalFormatting sqref="B168:O168">
    <cfRule type="expression" dxfId="610" priority="394">
      <formula>$R$168</formula>
    </cfRule>
  </conditionalFormatting>
  <conditionalFormatting sqref="B169:O169">
    <cfRule type="expression" dxfId="609" priority="393">
      <formula>$R$169</formula>
    </cfRule>
  </conditionalFormatting>
  <conditionalFormatting sqref="B170:O170">
    <cfRule type="expression" dxfId="608" priority="392">
      <formula>$R$170</formula>
    </cfRule>
  </conditionalFormatting>
  <conditionalFormatting sqref="B171:O171">
    <cfRule type="expression" dxfId="607" priority="391">
      <formula>$R$171</formula>
    </cfRule>
  </conditionalFormatting>
  <conditionalFormatting sqref="B172:O172">
    <cfRule type="expression" dxfId="606" priority="390">
      <formula>$R$172</formula>
    </cfRule>
  </conditionalFormatting>
  <conditionalFormatting sqref="B173:O173">
    <cfRule type="expression" dxfId="605" priority="389">
      <formula>$R$173</formula>
    </cfRule>
  </conditionalFormatting>
  <conditionalFormatting sqref="B174:O174">
    <cfRule type="expression" dxfId="604" priority="388">
      <formula>$R$174</formula>
    </cfRule>
  </conditionalFormatting>
  <conditionalFormatting sqref="B175:O175">
    <cfRule type="expression" dxfId="603" priority="387">
      <formula>$R$175</formula>
    </cfRule>
  </conditionalFormatting>
  <conditionalFormatting sqref="B176:O176">
    <cfRule type="expression" dxfId="602" priority="386">
      <formula>$R$176</formula>
    </cfRule>
  </conditionalFormatting>
  <conditionalFormatting sqref="B177:O177">
    <cfRule type="expression" dxfId="601" priority="385">
      <formula>$R$177</formula>
    </cfRule>
  </conditionalFormatting>
  <conditionalFormatting sqref="B178:O178">
    <cfRule type="expression" dxfId="600" priority="384">
      <formula>$R$178</formula>
    </cfRule>
  </conditionalFormatting>
  <conditionalFormatting sqref="B179:O179">
    <cfRule type="expression" dxfId="599" priority="383">
      <formula>$R$179</formula>
    </cfRule>
  </conditionalFormatting>
  <conditionalFormatting sqref="B180:O180">
    <cfRule type="expression" dxfId="598" priority="382">
      <formula>$R$180</formula>
    </cfRule>
  </conditionalFormatting>
  <conditionalFormatting sqref="B181:O181">
    <cfRule type="expression" dxfId="597" priority="381">
      <formula>$R$181</formula>
    </cfRule>
  </conditionalFormatting>
  <conditionalFormatting sqref="B182:O182">
    <cfRule type="expression" dxfId="596" priority="380">
      <formula>$R$182</formula>
    </cfRule>
  </conditionalFormatting>
  <conditionalFormatting sqref="B183:O183">
    <cfRule type="expression" dxfId="595" priority="379">
      <formula>$R$183</formula>
    </cfRule>
  </conditionalFormatting>
  <conditionalFormatting sqref="B184:O184">
    <cfRule type="expression" dxfId="594" priority="378">
      <formula>$R$184</formula>
    </cfRule>
  </conditionalFormatting>
  <conditionalFormatting sqref="B185:O185">
    <cfRule type="expression" dxfId="593" priority="377">
      <formula>$R$185</formula>
    </cfRule>
  </conditionalFormatting>
  <conditionalFormatting sqref="B186:O186">
    <cfRule type="expression" dxfId="592" priority="376">
      <formula>$R$186</formula>
    </cfRule>
  </conditionalFormatting>
  <conditionalFormatting sqref="B187:O187">
    <cfRule type="expression" dxfId="591" priority="375">
      <formula>$R$187</formula>
    </cfRule>
  </conditionalFormatting>
  <conditionalFormatting sqref="B188:O188">
    <cfRule type="expression" dxfId="590" priority="374">
      <formula>$R$188</formula>
    </cfRule>
  </conditionalFormatting>
  <conditionalFormatting sqref="B189:O189">
    <cfRule type="expression" dxfId="589" priority="373">
      <formula>$R$189</formula>
    </cfRule>
  </conditionalFormatting>
  <conditionalFormatting sqref="B190:O190">
    <cfRule type="expression" dxfId="588" priority="372">
      <formula>$R$190</formula>
    </cfRule>
  </conditionalFormatting>
  <conditionalFormatting sqref="B191:O191">
    <cfRule type="expression" dxfId="587" priority="371">
      <formula>$R$191</formula>
    </cfRule>
  </conditionalFormatting>
  <conditionalFormatting sqref="B192:O192">
    <cfRule type="expression" dxfId="586" priority="370">
      <formula>$R$192</formula>
    </cfRule>
  </conditionalFormatting>
  <conditionalFormatting sqref="B193:O193">
    <cfRule type="expression" dxfId="585" priority="369">
      <formula>$R$193</formula>
    </cfRule>
  </conditionalFormatting>
  <conditionalFormatting sqref="B194:O194">
    <cfRule type="expression" dxfId="584" priority="368">
      <formula>$R$194</formula>
    </cfRule>
  </conditionalFormatting>
  <conditionalFormatting sqref="B195:O195">
    <cfRule type="expression" dxfId="583" priority="367">
      <formula>$R$195</formula>
    </cfRule>
  </conditionalFormatting>
  <conditionalFormatting sqref="B196:O196">
    <cfRule type="expression" dxfId="582" priority="366">
      <formula>$R$196</formula>
    </cfRule>
  </conditionalFormatting>
  <conditionalFormatting sqref="B197:O197">
    <cfRule type="expression" dxfId="581" priority="365">
      <formula>$R$197</formula>
    </cfRule>
  </conditionalFormatting>
  <conditionalFormatting sqref="B198:O198">
    <cfRule type="expression" dxfId="580" priority="364">
      <formula>$R$198</formula>
    </cfRule>
  </conditionalFormatting>
  <conditionalFormatting sqref="B199:O199">
    <cfRule type="expression" dxfId="579" priority="363">
      <formula>$R$199</formula>
    </cfRule>
  </conditionalFormatting>
  <conditionalFormatting sqref="B200:O200">
    <cfRule type="expression" dxfId="578" priority="362">
      <formula>$R$200</formula>
    </cfRule>
  </conditionalFormatting>
  <conditionalFormatting sqref="B201:O201">
    <cfRule type="expression" dxfId="577" priority="361">
      <formula>$R$201</formula>
    </cfRule>
  </conditionalFormatting>
  <conditionalFormatting sqref="B202:O202">
    <cfRule type="expression" dxfId="576" priority="360">
      <formula>$R$202</formula>
    </cfRule>
  </conditionalFormatting>
  <conditionalFormatting sqref="B203:O203">
    <cfRule type="expression" dxfId="575" priority="359">
      <formula>$R$203</formula>
    </cfRule>
  </conditionalFormatting>
  <conditionalFormatting sqref="B204:O204">
    <cfRule type="expression" dxfId="574" priority="358">
      <formula>$R$204</formula>
    </cfRule>
  </conditionalFormatting>
  <conditionalFormatting sqref="B205:O205">
    <cfRule type="expression" dxfId="573" priority="357">
      <formula>$R$205</formula>
    </cfRule>
  </conditionalFormatting>
  <conditionalFormatting sqref="B206:O206">
    <cfRule type="expression" dxfId="572" priority="356">
      <formula>$R$206</formula>
    </cfRule>
  </conditionalFormatting>
  <conditionalFormatting sqref="B207:O207">
    <cfRule type="expression" dxfId="571" priority="355">
      <formula>$R$207</formula>
    </cfRule>
  </conditionalFormatting>
  <conditionalFormatting sqref="B208:O208">
    <cfRule type="expression" dxfId="570" priority="354">
      <formula>$R$208</formula>
    </cfRule>
  </conditionalFormatting>
  <conditionalFormatting sqref="B209:O209">
    <cfRule type="expression" dxfId="569" priority="353">
      <formula>$R$209</formula>
    </cfRule>
  </conditionalFormatting>
  <conditionalFormatting sqref="B210:O210">
    <cfRule type="expression" dxfId="568" priority="352">
      <formula>$R$210</formula>
    </cfRule>
  </conditionalFormatting>
  <conditionalFormatting sqref="B211:O211">
    <cfRule type="expression" dxfId="567" priority="351">
      <formula>$R$211</formula>
    </cfRule>
  </conditionalFormatting>
  <conditionalFormatting sqref="B212:O212">
    <cfRule type="expression" dxfId="566" priority="350">
      <formula>$R$212</formula>
    </cfRule>
  </conditionalFormatting>
  <conditionalFormatting sqref="B213:O213">
    <cfRule type="expression" dxfId="565" priority="349">
      <formula>$R$213</formula>
    </cfRule>
  </conditionalFormatting>
  <conditionalFormatting sqref="B214:O214">
    <cfRule type="expression" dxfId="564" priority="348">
      <formula>$R$214</formula>
    </cfRule>
  </conditionalFormatting>
  <conditionalFormatting sqref="B215:O215">
    <cfRule type="expression" dxfId="563" priority="347">
      <formula>$R$215</formula>
    </cfRule>
  </conditionalFormatting>
  <conditionalFormatting sqref="B216:O216">
    <cfRule type="expression" dxfId="562" priority="346">
      <formula>$R$216</formula>
    </cfRule>
  </conditionalFormatting>
  <conditionalFormatting sqref="B217:O217">
    <cfRule type="expression" dxfId="561" priority="345">
      <formula>$R$217</formula>
    </cfRule>
  </conditionalFormatting>
  <conditionalFormatting sqref="B218:O218">
    <cfRule type="expression" dxfId="560" priority="344">
      <formula>$R$218</formula>
    </cfRule>
  </conditionalFormatting>
  <conditionalFormatting sqref="B219:O219">
    <cfRule type="expression" dxfId="559" priority="343">
      <formula>$R$219</formula>
    </cfRule>
  </conditionalFormatting>
  <conditionalFormatting sqref="B220:O220">
    <cfRule type="expression" dxfId="558" priority="342">
      <formula>$R$220</formula>
    </cfRule>
  </conditionalFormatting>
  <conditionalFormatting sqref="B221:O221">
    <cfRule type="expression" dxfId="557" priority="341">
      <formula>$R$221</formula>
    </cfRule>
  </conditionalFormatting>
  <conditionalFormatting sqref="B222:O222">
    <cfRule type="expression" dxfId="556" priority="340">
      <formula>$R$222</formula>
    </cfRule>
  </conditionalFormatting>
  <conditionalFormatting sqref="B223:O223">
    <cfRule type="expression" dxfId="555" priority="339">
      <formula>$R$223</formula>
    </cfRule>
  </conditionalFormatting>
  <conditionalFormatting sqref="B224:O224">
    <cfRule type="expression" dxfId="554" priority="338">
      <formula>$R$224</formula>
    </cfRule>
  </conditionalFormatting>
  <conditionalFormatting sqref="B225:O225">
    <cfRule type="expression" dxfId="553" priority="337">
      <formula>$R$225</formula>
    </cfRule>
  </conditionalFormatting>
  <conditionalFormatting sqref="B226:O226">
    <cfRule type="expression" dxfId="552" priority="336">
      <formula>$R$226</formula>
    </cfRule>
  </conditionalFormatting>
  <conditionalFormatting sqref="B227:O227">
    <cfRule type="expression" dxfId="551" priority="335">
      <formula>$R$227</formula>
    </cfRule>
  </conditionalFormatting>
  <conditionalFormatting sqref="B228:O228">
    <cfRule type="expression" dxfId="550" priority="334">
      <formula>$R$228</formula>
    </cfRule>
  </conditionalFormatting>
  <conditionalFormatting sqref="B229:O229">
    <cfRule type="expression" dxfId="549" priority="333">
      <formula>$R$229</formula>
    </cfRule>
  </conditionalFormatting>
  <conditionalFormatting sqref="B230:O230">
    <cfRule type="expression" dxfId="548" priority="332">
      <formula>$R$230</formula>
    </cfRule>
  </conditionalFormatting>
  <conditionalFormatting sqref="B231:O231">
    <cfRule type="expression" dxfId="547" priority="331">
      <formula>$R$231</formula>
    </cfRule>
  </conditionalFormatting>
  <conditionalFormatting sqref="B232:O232">
    <cfRule type="expression" dxfId="546" priority="330">
      <formula>$R$232</formula>
    </cfRule>
  </conditionalFormatting>
  <conditionalFormatting sqref="B233:O233">
    <cfRule type="expression" dxfId="545" priority="329">
      <formula>$R$233</formula>
    </cfRule>
  </conditionalFormatting>
  <conditionalFormatting sqref="B234:O234">
    <cfRule type="expression" dxfId="544" priority="328">
      <formula>$R$234</formula>
    </cfRule>
  </conditionalFormatting>
  <conditionalFormatting sqref="B235:O235">
    <cfRule type="expression" dxfId="543" priority="327">
      <formula>$R$235</formula>
    </cfRule>
  </conditionalFormatting>
  <conditionalFormatting sqref="B236:O236">
    <cfRule type="expression" dxfId="542" priority="326">
      <formula>$R$236</formula>
    </cfRule>
  </conditionalFormatting>
  <conditionalFormatting sqref="B237:O237">
    <cfRule type="expression" dxfId="541" priority="325">
      <formula>$R$237</formula>
    </cfRule>
  </conditionalFormatting>
  <conditionalFormatting sqref="B238:O238">
    <cfRule type="expression" dxfId="540" priority="324">
      <formula>$R$238</formula>
    </cfRule>
  </conditionalFormatting>
  <conditionalFormatting sqref="B239:O239">
    <cfRule type="expression" dxfId="539" priority="323">
      <formula>$R$239</formula>
    </cfRule>
  </conditionalFormatting>
  <conditionalFormatting sqref="B240:O240">
    <cfRule type="expression" dxfId="538" priority="322">
      <formula>$R$240</formula>
    </cfRule>
  </conditionalFormatting>
  <conditionalFormatting sqref="B241:O241">
    <cfRule type="expression" dxfId="537" priority="321">
      <formula>$R$241</formula>
    </cfRule>
  </conditionalFormatting>
  <conditionalFormatting sqref="B242:O242">
    <cfRule type="expression" dxfId="536" priority="320">
      <formula>$R$242</formula>
    </cfRule>
  </conditionalFormatting>
  <conditionalFormatting sqref="B243:O243">
    <cfRule type="expression" dxfId="535" priority="319">
      <formula>$R$243</formula>
    </cfRule>
  </conditionalFormatting>
  <conditionalFormatting sqref="B244:O244">
    <cfRule type="expression" dxfId="534" priority="318">
      <formula>$R$244</formula>
    </cfRule>
  </conditionalFormatting>
  <conditionalFormatting sqref="B245:O245">
    <cfRule type="expression" dxfId="533" priority="317">
      <formula>$R$245</formula>
    </cfRule>
  </conditionalFormatting>
  <conditionalFormatting sqref="B246:O246">
    <cfRule type="expression" dxfId="532" priority="316">
      <formula>$R$246</formula>
    </cfRule>
  </conditionalFormatting>
  <conditionalFormatting sqref="B247:O247">
    <cfRule type="expression" dxfId="531" priority="315">
      <formula>$R$247</formula>
    </cfRule>
  </conditionalFormatting>
  <conditionalFormatting sqref="B248:O248">
    <cfRule type="expression" dxfId="530" priority="314">
      <formula>$R$248</formula>
    </cfRule>
  </conditionalFormatting>
  <conditionalFormatting sqref="B249:O249">
    <cfRule type="expression" dxfId="529" priority="313">
      <formula>$R$249</formula>
    </cfRule>
  </conditionalFormatting>
  <conditionalFormatting sqref="B250:O250">
    <cfRule type="expression" dxfId="528" priority="312">
      <formula>$R$250</formula>
    </cfRule>
  </conditionalFormatting>
  <conditionalFormatting sqref="B251:O251">
    <cfRule type="expression" dxfId="527" priority="311">
      <formula>$R$251</formula>
    </cfRule>
  </conditionalFormatting>
  <conditionalFormatting sqref="B252:O252">
    <cfRule type="expression" dxfId="526" priority="310">
      <formula>$R$252</formula>
    </cfRule>
  </conditionalFormatting>
  <conditionalFormatting sqref="B253:O253">
    <cfRule type="expression" dxfId="525" priority="309">
      <formula>$R$253</formula>
    </cfRule>
  </conditionalFormatting>
  <conditionalFormatting sqref="B254:O254">
    <cfRule type="expression" dxfId="524" priority="308">
      <formula>$R$254</formula>
    </cfRule>
  </conditionalFormatting>
  <conditionalFormatting sqref="B255:O255">
    <cfRule type="expression" dxfId="523" priority="307">
      <formula>$R$255</formula>
    </cfRule>
  </conditionalFormatting>
  <conditionalFormatting sqref="B256:O256">
    <cfRule type="expression" dxfId="522" priority="306">
      <formula>$R$256</formula>
    </cfRule>
  </conditionalFormatting>
  <conditionalFormatting sqref="B257:O257">
    <cfRule type="expression" dxfId="521" priority="305">
      <formula>$R$257</formula>
    </cfRule>
  </conditionalFormatting>
  <conditionalFormatting sqref="B258:O258">
    <cfRule type="expression" dxfId="520" priority="304">
      <formula>$R$258</formula>
    </cfRule>
  </conditionalFormatting>
  <conditionalFormatting sqref="B259:O259">
    <cfRule type="expression" dxfId="519" priority="303">
      <formula>$R$259</formula>
    </cfRule>
  </conditionalFormatting>
  <conditionalFormatting sqref="B260:O260">
    <cfRule type="expression" dxfId="518" priority="302">
      <formula>$R$260</formula>
    </cfRule>
  </conditionalFormatting>
  <conditionalFormatting sqref="B261:O261">
    <cfRule type="expression" dxfId="517" priority="301">
      <formula>$R$261</formula>
    </cfRule>
  </conditionalFormatting>
  <conditionalFormatting sqref="B262:O262">
    <cfRule type="expression" dxfId="516" priority="300">
      <formula>$R$262</formula>
    </cfRule>
  </conditionalFormatting>
  <conditionalFormatting sqref="B263:O263">
    <cfRule type="expression" dxfId="515" priority="299">
      <formula>$R$263</formula>
    </cfRule>
  </conditionalFormatting>
  <conditionalFormatting sqref="B264:O264">
    <cfRule type="expression" dxfId="514" priority="298">
      <formula>$R$264</formula>
    </cfRule>
  </conditionalFormatting>
  <conditionalFormatting sqref="B265:O265">
    <cfRule type="expression" dxfId="513" priority="297">
      <formula>$R$265</formula>
    </cfRule>
  </conditionalFormatting>
  <conditionalFormatting sqref="B266:O266">
    <cfRule type="expression" dxfId="512" priority="296">
      <formula>$R$266</formula>
    </cfRule>
  </conditionalFormatting>
  <conditionalFormatting sqref="B267:O267">
    <cfRule type="expression" dxfId="511" priority="295">
      <formula>$R$267</formula>
    </cfRule>
  </conditionalFormatting>
  <conditionalFormatting sqref="B268:O268">
    <cfRule type="expression" dxfId="510" priority="294">
      <formula>$R$268</formula>
    </cfRule>
  </conditionalFormatting>
  <conditionalFormatting sqref="B269:O269">
    <cfRule type="expression" dxfId="509" priority="293">
      <formula>$R$269</formula>
    </cfRule>
  </conditionalFormatting>
  <conditionalFormatting sqref="B270:O270">
    <cfRule type="expression" dxfId="508" priority="292">
      <formula>$R$270</formula>
    </cfRule>
  </conditionalFormatting>
  <conditionalFormatting sqref="B271:O271">
    <cfRule type="expression" dxfId="507" priority="291">
      <formula>$R$271</formula>
    </cfRule>
  </conditionalFormatting>
  <conditionalFormatting sqref="B272:O272">
    <cfRule type="expression" dxfId="506" priority="290">
      <formula>$R$272</formula>
    </cfRule>
  </conditionalFormatting>
  <conditionalFormatting sqref="B273:O273">
    <cfRule type="expression" dxfId="505" priority="289">
      <formula>$R$273</formula>
    </cfRule>
  </conditionalFormatting>
  <conditionalFormatting sqref="B274:O274">
    <cfRule type="expression" dxfId="504" priority="288">
      <formula>$R$274</formula>
    </cfRule>
  </conditionalFormatting>
  <conditionalFormatting sqref="B275:O275">
    <cfRule type="expression" dxfId="503" priority="287">
      <formula>$R$275</formula>
    </cfRule>
  </conditionalFormatting>
  <conditionalFormatting sqref="B276:O276">
    <cfRule type="expression" dxfId="502" priority="286">
      <formula>$R$276</formula>
    </cfRule>
  </conditionalFormatting>
  <conditionalFormatting sqref="B277:O277">
    <cfRule type="expression" dxfId="501" priority="285">
      <formula>$R$277</formula>
    </cfRule>
  </conditionalFormatting>
  <conditionalFormatting sqref="B278:O278">
    <cfRule type="expression" dxfId="500" priority="284">
      <formula>$R$278</formula>
    </cfRule>
  </conditionalFormatting>
  <conditionalFormatting sqref="B279:O279">
    <cfRule type="expression" dxfId="499" priority="283">
      <formula>$R$279</formula>
    </cfRule>
  </conditionalFormatting>
  <conditionalFormatting sqref="B280:O280">
    <cfRule type="expression" dxfId="498" priority="282">
      <formula>$R$280</formula>
    </cfRule>
  </conditionalFormatting>
  <conditionalFormatting sqref="B281:O281">
    <cfRule type="expression" dxfId="497" priority="281">
      <formula>$R$281</formula>
    </cfRule>
  </conditionalFormatting>
  <conditionalFormatting sqref="B282:O282">
    <cfRule type="expression" dxfId="496" priority="280">
      <formula>$R$282</formula>
    </cfRule>
  </conditionalFormatting>
  <conditionalFormatting sqref="B283:O283">
    <cfRule type="expression" dxfId="495" priority="279">
      <formula>$R$283</formula>
    </cfRule>
  </conditionalFormatting>
  <conditionalFormatting sqref="B284:O284">
    <cfRule type="expression" dxfId="494" priority="278">
      <formula>$R$284</formula>
    </cfRule>
  </conditionalFormatting>
  <conditionalFormatting sqref="B285:O285">
    <cfRule type="expression" dxfId="493" priority="277">
      <formula>$R$285</formula>
    </cfRule>
  </conditionalFormatting>
  <conditionalFormatting sqref="B286:O286">
    <cfRule type="expression" dxfId="492" priority="276">
      <formula>$R$286</formula>
    </cfRule>
  </conditionalFormatting>
  <conditionalFormatting sqref="B287:O287">
    <cfRule type="expression" dxfId="491" priority="275">
      <formula>$R$287</formula>
    </cfRule>
  </conditionalFormatting>
  <conditionalFormatting sqref="B288:O288">
    <cfRule type="expression" dxfId="490" priority="274">
      <formula>$R$288</formula>
    </cfRule>
  </conditionalFormatting>
  <conditionalFormatting sqref="B289:O289">
    <cfRule type="expression" dxfId="489" priority="273">
      <formula>$R$289</formula>
    </cfRule>
  </conditionalFormatting>
  <conditionalFormatting sqref="B290:O290">
    <cfRule type="expression" dxfId="488" priority="272">
      <formula>$R$290</formula>
    </cfRule>
  </conditionalFormatting>
  <conditionalFormatting sqref="B291:O291">
    <cfRule type="expression" dxfId="487" priority="271">
      <formula>$R$291</formula>
    </cfRule>
  </conditionalFormatting>
  <conditionalFormatting sqref="B292:O292">
    <cfRule type="expression" dxfId="486" priority="270">
      <formula>$R$292</formula>
    </cfRule>
  </conditionalFormatting>
  <conditionalFormatting sqref="B293:O293">
    <cfRule type="expression" dxfId="485" priority="269">
      <formula>$R$293</formula>
    </cfRule>
  </conditionalFormatting>
  <conditionalFormatting sqref="B294:O294">
    <cfRule type="expression" dxfId="484" priority="268">
      <formula>$R$294</formula>
    </cfRule>
  </conditionalFormatting>
  <conditionalFormatting sqref="B295:O295">
    <cfRule type="expression" dxfId="483" priority="267">
      <formula>$R$295</formula>
    </cfRule>
  </conditionalFormatting>
  <conditionalFormatting sqref="B296:O296">
    <cfRule type="expression" dxfId="482" priority="266">
      <formula>$R$296</formula>
    </cfRule>
  </conditionalFormatting>
  <conditionalFormatting sqref="B297:O297">
    <cfRule type="expression" dxfId="481" priority="265">
      <formula>$R$297</formula>
    </cfRule>
  </conditionalFormatting>
  <conditionalFormatting sqref="B298:O298">
    <cfRule type="expression" dxfId="480" priority="264">
      <formula>$R$298</formula>
    </cfRule>
  </conditionalFormatting>
  <conditionalFormatting sqref="B299:O299">
    <cfRule type="expression" dxfId="479" priority="263">
      <formula>$R$299</formula>
    </cfRule>
  </conditionalFormatting>
  <conditionalFormatting sqref="B300:O300">
    <cfRule type="expression" dxfId="478" priority="262">
      <formula>$R$300</formula>
    </cfRule>
  </conditionalFormatting>
  <conditionalFormatting sqref="B301:O301">
    <cfRule type="expression" dxfId="477" priority="261">
      <formula>$R$301</formula>
    </cfRule>
  </conditionalFormatting>
  <conditionalFormatting sqref="B302:O302">
    <cfRule type="expression" dxfId="476" priority="260">
      <formula>$R$302</formula>
    </cfRule>
  </conditionalFormatting>
  <conditionalFormatting sqref="B303:O303">
    <cfRule type="expression" dxfId="475" priority="259">
      <formula>$R$303</formula>
    </cfRule>
  </conditionalFormatting>
  <conditionalFormatting sqref="B304:O304">
    <cfRule type="expression" dxfId="474" priority="258">
      <formula>$R$304</formula>
    </cfRule>
  </conditionalFormatting>
  <conditionalFormatting sqref="B305:O305">
    <cfRule type="expression" dxfId="473" priority="257">
      <formula>$R$305</formula>
    </cfRule>
  </conditionalFormatting>
  <conditionalFormatting sqref="B306:O306">
    <cfRule type="expression" dxfId="472" priority="256">
      <formula>$R$306</formula>
    </cfRule>
  </conditionalFormatting>
  <conditionalFormatting sqref="B307:O307">
    <cfRule type="expression" dxfId="471" priority="255">
      <formula>$R$307</formula>
    </cfRule>
  </conditionalFormatting>
  <conditionalFormatting sqref="B308:O308">
    <cfRule type="expression" dxfId="470" priority="254">
      <formula>$R$308</formula>
    </cfRule>
  </conditionalFormatting>
  <conditionalFormatting sqref="B309:O309">
    <cfRule type="expression" dxfId="469" priority="253">
      <formula>$R$309</formula>
    </cfRule>
  </conditionalFormatting>
  <conditionalFormatting sqref="B310:O310">
    <cfRule type="expression" dxfId="468" priority="252">
      <formula>$R$310</formula>
    </cfRule>
  </conditionalFormatting>
  <conditionalFormatting sqref="B311:O311">
    <cfRule type="expression" dxfId="467" priority="251">
      <formula>$R$311</formula>
    </cfRule>
  </conditionalFormatting>
  <conditionalFormatting sqref="B312:O312">
    <cfRule type="expression" dxfId="466" priority="250">
      <formula>$R$312</formula>
    </cfRule>
  </conditionalFormatting>
  <conditionalFormatting sqref="B313:O313">
    <cfRule type="expression" dxfId="465" priority="249">
      <formula>$R$313</formula>
    </cfRule>
  </conditionalFormatting>
  <conditionalFormatting sqref="B314:O314">
    <cfRule type="expression" dxfId="464" priority="248">
      <formula>$R$314</formula>
    </cfRule>
  </conditionalFormatting>
  <conditionalFormatting sqref="B315:O315">
    <cfRule type="expression" dxfId="463" priority="247">
      <formula>$R$315</formula>
    </cfRule>
  </conditionalFormatting>
  <conditionalFormatting sqref="B316:O316">
    <cfRule type="expression" dxfId="462" priority="246">
      <formula>$R$316</formula>
    </cfRule>
  </conditionalFormatting>
  <conditionalFormatting sqref="B317:O317">
    <cfRule type="expression" dxfId="461" priority="245">
      <formula>$R$317</formula>
    </cfRule>
  </conditionalFormatting>
  <conditionalFormatting sqref="B318:O318">
    <cfRule type="expression" dxfId="460" priority="244">
      <formula>$R$318</formula>
    </cfRule>
  </conditionalFormatting>
  <conditionalFormatting sqref="B319:O319">
    <cfRule type="expression" dxfId="459" priority="243">
      <formula>$R$319</formula>
    </cfRule>
  </conditionalFormatting>
  <conditionalFormatting sqref="B320:O320">
    <cfRule type="expression" dxfId="458" priority="242">
      <formula>$R$320</formula>
    </cfRule>
  </conditionalFormatting>
  <conditionalFormatting sqref="B321:O321">
    <cfRule type="expression" dxfId="457" priority="241">
      <formula>$R$321</formula>
    </cfRule>
  </conditionalFormatting>
  <conditionalFormatting sqref="B322:O322">
    <cfRule type="expression" dxfId="456" priority="240">
      <formula>$R$322</formula>
    </cfRule>
  </conditionalFormatting>
  <conditionalFormatting sqref="B323:O323">
    <cfRule type="expression" dxfId="455" priority="239">
      <formula>$R$323</formula>
    </cfRule>
  </conditionalFormatting>
  <conditionalFormatting sqref="B324:O324">
    <cfRule type="expression" dxfId="454" priority="238">
      <formula>$R$324</formula>
    </cfRule>
  </conditionalFormatting>
  <conditionalFormatting sqref="B325:O325">
    <cfRule type="expression" dxfId="453" priority="237">
      <formula>$R$325</formula>
    </cfRule>
  </conditionalFormatting>
  <conditionalFormatting sqref="B326:O326">
    <cfRule type="expression" dxfId="452" priority="236">
      <formula>$R$326</formula>
    </cfRule>
  </conditionalFormatting>
  <conditionalFormatting sqref="B327:O327">
    <cfRule type="expression" dxfId="451" priority="235">
      <formula>$R$327</formula>
    </cfRule>
  </conditionalFormatting>
  <conditionalFormatting sqref="B328:O328">
    <cfRule type="expression" dxfId="450" priority="234">
      <formula>$R$328</formula>
    </cfRule>
  </conditionalFormatting>
  <conditionalFormatting sqref="B329:O329">
    <cfRule type="expression" dxfId="449" priority="233">
      <formula>$R$329</formula>
    </cfRule>
  </conditionalFormatting>
  <conditionalFormatting sqref="B330:O330">
    <cfRule type="expression" dxfId="448" priority="232">
      <formula>$R$330</formula>
    </cfRule>
  </conditionalFormatting>
  <conditionalFormatting sqref="B331:O331">
    <cfRule type="expression" dxfId="447" priority="231">
      <formula>$R$331</formula>
    </cfRule>
  </conditionalFormatting>
  <conditionalFormatting sqref="B332:O332">
    <cfRule type="expression" dxfId="446" priority="230">
      <formula>$R$332</formula>
    </cfRule>
  </conditionalFormatting>
  <conditionalFormatting sqref="B333:O333">
    <cfRule type="expression" dxfId="445" priority="229">
      <formula>$R$333</formula>
    </cfRule>
  </conditionalFormatting>
  <conditionalFormatting sqref="B334:O334">
    <cfRule type="expression" dxfId="444" priority="228">
      <formula>$R$334</formula>
    </cfRule>
  </conditionalFormatting>
  <conditionalFormatting sqref="B335:O335">
    <cfRule type="expression" dxfId="443" priority="227">
      <formula>$R$335</formula>
    </cfRule>
  </conditionalFormatting>
  <conditionalFormatting sqref="B336:O336">
    <cfRule type="expression" dxfId="442" priority="226">
      <formula>$R$336</formula>
    </cfRule>
  </conditionalFormatting>
  <conditionalFormatting sqref="B337:O337">
    <cfRule type="expression" dxfId="441" priority="225">
      <formula>$R$337</formula>
    </cfRule>
  </conditionalFormatting>
  <conditionalFormatting sqref="B338:O338">
    <cfRule type="expression" dxfId="440" priority="224">
      <formula>$R$338</formula>
    </cfRule>
  </conditionalFormatting>
  <conditionalFormatting sqref="B339:O339">
    <cfRule type="expression" dxfId="439" priority="223">
      <formula>$R$339</formula>
    </cfRule>
  </conditionalFormatting>
  <conditionalFormatting sqref="B340:O340">
    <cfRule type="expression" dxfId="438" priority="222">
      <formula>$R$340</formula>
    </cfRule>
  </conditionalFormatting>
  <conditionalFormatting sqref="B341:O341">
    <cfRule type="expression" dxfId="437" priority="221">
      <formula>$R$341</formula>
    </cfRule>
  </conditionalFormatting>
  <conditionalFormatting sqref="B342:O342">
    <cfRule type="expression" dxfId="436" priority="220">
      <formula>$R$342</formula>
    </cfRule>
  </conditionalFormatting>
  <conditionalFormatting sqref="B343:O343">
    <cfRule type="expression" dxfId="435" priority="219">
      <formula>$R$343</formula>
    </cfRule>
  </conditionalFormatting>
  <conditionalFormatting sqref="B344:O344">
    <cfRule type="expression" dxfId="434" priority="218">
      <formula>$R$344</formula>
    </cfRule>
  </conditionalFormatting>
  <conditionalFormatting sqref="B345:O345">
    <cfRule type="expression" dxfId="433" priority="217">
      <formula>$R$345</formula>
    </cfRule>
  </conditionalFormatting>
  <conditionalFormatting sqref="B346:O346">
    <cfRule type="expression" dxfId="432" priority="216">
      <formula>$R$346</formula>
    </cfRule>
  </conditionalFormatting>
  <conditionalFormatting sqref="B347:O347">
    <cfRule type="expression" dxfId="431" priority="215">
      <formula>$R$347</formula>
    </cfRule>
  </conditionalFormatting>
  <conditionalFormatting sqref="B348:O348">
    <cfRule type="expression" dxfId="430" priority="214">
      <formula>$R$348</formula>
    </cfRule>
  </conditionalFormatting>
  <conditionalFormatting sqref="B349:O349">
    <cfRule type="expression" dxfId="429" priority="213">
      <formula>$R$349</formula>
    </cfRule>
  </conditionalFormatting>
  <conditionalFormatting sqref="B350:O350">
    <cfRule type="expression" dxfId="428" priority="212">
      <formula>$R$350</formula>
    </cfRule>
  </conditionalFormatting>
  <conditionalFormatting sqref="B351:O351">
    <cfRule type="expression" dxfId="427" priority="211">
      <formula>$R$351</formula>
    </cfRule>
  </conditionalFormatting>
  <conditionalFormatting sqref="B352:O352">
    <cfRule type="expression" dxfId="426" priority="210">
      <formula>$R$352</formula>
    </cfRule>
  </conditionalFormatting>
  <conditionalFormatting sqref="B353:O353">
    <cfRule type="expression" dxfId="425" priority="209">
      <formula>$R$353</formula>
    </cfRule>
  </conditionalFormatting>
  <conditionalFormatting sqref="B354:O354">
    <cfRule type="expression" dxfId="424" priority="208">
      <formula>$R$354</formula>
    </cfRule>
  </conditionalFormatting>
  <conditionalFormatting sqref="B355:O355">
    <cfRule type="expression" dxfId="423" priority="207">
      <formula>$R$355</formula>
    </cfRule>
  </conditionalFormatting>
  <conditionalFormatting sqref="B356:O356">
    <cfRule type="expression" dxfId="422" priority="206">
      <formula>$R$356</formula>
    </cfRule>
  </conditionalFormatting>
  <conditionalFormatting sqref="B357:O357">
    <cfRule type="expression" dxfId="421" priority="205">
      <formula>$R$357</formula>
    </cfRule>
  </conditionalFormatting>
  <conditionalFormatting sqref="B358:O358">
    <cfRule type="expression" dxfId="420" priority="204">
      <formula>$R$358</formula>
    </cfRule>
  </conditionalFormatting>
  <conditionalFormatting sqref="B359:O359">
    <cfRule type="expression" dxfId="419" priority="203">
      <formula>$R$359</formula>
    </cfRule>
  </conditionalFormatting>
  <conditionalFormatting sqref="B360:O360">
    <cfRule type="expression" dxfId="418" priority="202">
      <formula>$R$360</formula>
    </cfRule>
  </conditionalFormatting>
  <conditionalFormatting sqref="B361:O361">
    <cfRule type="expression" dxfId="417" priority="201">
      <formula>$R$361</formula>
    </cfRule>
  </conditionalFormatting>
  <conditionalFormatting sqref="B362:O362">
    <cfRule type="expression" dxfId="416" priority="200">
      <formula>$R$362</formula>
    </cfRule>
  </conditionalFormatting>
  <conditionalFormatting sqref="B363:O363">
    <cfRule type="expression" dxfId="415" priority="199">
      <formula>$R$363</formula>
    </cfRule>
  </conditionalFormatting>
  <conditionalFormatting sqref="B364:O364">
    <cfRule type="expression" dxfId="414" priority="198">
      <formula>$R$364</formula>
    </cfRule>
  </conditionalFormatting>
  <conditionalFormatting sqref="B365:O365">
    <cfRule type="expression" dxfId="413" priority="197">
      <formula>$R$365</formula>
    </cfRule>
  </conditionalFormatting>
  <conditionalFormatting sqref="B366:O366">
    <cfRule type="expression" dxfId="412" priority="196">
      <formula>$R$366</formula>
    </cfRule>
  </conditionalFormatting>
  <conditionalFormatting sqref="B367:O367">
    <cfRule type="expression" dxfId="411" priority="195">
      <formula>$R$367</formula>
    </cfRule>
  </conditionalFormatting>
  <conditionalFormatting sqref="B368:O368">
    <cfRule type="expression" dxfId="410" priority="194">
      <formula>$R$368</formula>
    </cfRule>
  </conditionalFormatting>
  <conditionalFormatting sqref="B369:O369">
    <cfRule type="expression" dxfId="409" priority="193">
      <formula>$R$369</formula>
    </cfRule>
  </conditionalFormatting>
  <conditionalFormatting sqref="B370:O370">
    <cfRule type="expression" dxfId="408" priority="192">
      <formula>$R$370</formula>
    </cfRule>
  </conditionalFormatting>
  <conditionalFormatting sqref="B371:O371">
    <cfRule type="expression" dxfId="407" priority="191">
      <formula>$R$371</formula>
    </cfRule>
  </conditionalFormatting>
  <conditionalFormatting sqref="B372:O372">
    <cfRule type="expression" dxfId="406" priority="190">
      <formula>$R$372</formula>
    </cfRule>
  </conditionalFormatting>
  <conditionalFormatting sqref="B373:O373">
    <cfRule type="expression" dxfId="405" priority="189">
      <formula>$R$373</formula>
    </cfRule>
  </conditionalFormatting>
  <conditionalFormatting sqref="B374:O374">
    <cfRule type="expression" dxfId="404" priority="188">
      <formula>$R$374</formula>
    </cfRule>
  </conditionalFormatting>
  <conditionalFormatting sqref="B375:O375">
    <cfRule type="expression" dxfId="403" priority="187">
      <formula>$R$375</formula>
    </cfRule>
  </conditionalFormatting>
  <conditionalFormatting sqref="B376:O376">
    <cfRule type="expression" dxfId="402" priority="186">
      <formula>$R$376</formula>
    </cfRule>
  </conditionalFormatting>
  <conditionalFormatting sqref="B377:O377">
    <cfRule type="expression" dxfId="401" priority="185">
      <formula>$R$377</formula>
    </cfRule>
  </conditionalFormatting>
  <conditionalFormatting sqref="B378:O378">
    <cfRule type="expression" dxfId="400" priority="184">
      <formula>$R$378</formula>
    </cfRule>
  </conditionalFormatting>
  <conditionalFormatting sqref="B379:O379">
    <cfRule type="expression" dxfId="399" priority="183">
      <formula>$R$379</formula>
    </cfRule>
  </conditionalFormatting>
  <conditionalFormatting sqref="B380:O380">
    <cfRule type="expression" dxfId="398" priority="182">
      <formula>$R$380</formula>
    </cfRule>
  </conditionalFormatting>
  <conditionalFormatting sqref="B381:O381">
    <cfRule type="expression" dxfId="397" priority="181">
      <formula>$R$381</formula>
    </cfRule>
  </conditionalFormatting>
  <conditionalFormatting sqref="B382:O382">
    <cfRule type="expression" dxfId="396" priority="180">
      <formula>$R$382</formula>
    </cfRule>
  </conditionalFormatting>
  <conditionalFormatting sqref="B383:O383">
    <cfRule type="expression" dxfId="395" priority="179">
      <formula>$R$383</formula>
    </cfRule>
  </conditionalFormatting>
  <conditionalFormatting sqref="B384:O384">
    <cfRule type="expression" dxfId="394" priority="178">
      <formula>$R$384</formula>
    </cfRule>
  </conditionalFormatting>
  <conditionalFormatting sqref="B385:O385">
    <cfRule type="expression" dxfId="393" priority="177">
      <formula>$R$385</formula>
    </cfRule>
  </conditionalFormatting>
  <conditionalFormatting sqref="B386:O386">
    <cfRule type="expression" dxfId="392" priority="176">
      <formula>$R$386</formula>
    </cfRule>
  </conditionalFormatting>
  <conditionalFormatting sqref="B387:O387">
    <cfRule type="expression" dxfId="391" priority="175">
      <formula>$R$387</formula>
    </cfRule>
  </conditionalFormatting>
  <conditionalFormatting sqref="B388:O388">
    <cfRule type="expression" dxfId="390" priority="174">
      <formula>$R$388</formula>
    </cfRule>
  </conditionalFormatting>
  <conditionalFormatting sqref="B389:O389">
    <cfRule type="expression" dxfId="389" priority="173">
      <formula>$R$389</formula>
    </cfRule>
  </conditionalFormatting>
  <conditionalFormatting sqref="B390:O390">
    <cfRule type="expression" dxfId="388" priority="172">
      <formula>$R$390</formula>
    </cfRule>
  </conditionalFormatting>
  <conditionalFormatting sqref="B391:O391">
    <cfRule type="expression" dxfId="387" priority="171">
      <formula>$R$391</formula>
    </cfRule>
  </conditionalFormatting>
  <conditionalFormatting sqref="B392:O392">
    <cfRule type="expression" dxfId="386" priority="170">
      <formula>$R$392</formula>
    </cfRule>
  </conditionalFormatting>
  <conditionalFormatting sqref="B393:O393">
    <cfRule type="expression" dxfId="385" priority="169">
      <formula>$R$393</formula>
    </cfRule>
  </conditionalFormatting>
  <conditionalFormatting sqref="B394:O394">
    <cfRule type="expression" dxfId="384" priority="168">
      <formula>$R$394</formula>
    </cfRule>
  </conditionalFormatting>
  <conditionalFormatting sqref="B395:O395">
    <cfRule type="expression" dxfId="383" priority="167">
      <formula>$R$395</formula>
    </cfRule>
  </conditionalFormatting>
  <conditionalFormatting sqref="B396:O396">
    <cfRule type="expression" dxfId="382" priority="166">
      <formula>$R$396</formula>
    </cfRule>
  </conditionalFormatting>
  <conditionalFormatting sqref="B397:O397">
    <cfRule type="expression" dxfId="381" priority="165">
      <formula>$R$397</formula>
    </cfRule>
  </conditionalFormatting>
  <conditionalFormatting sqref="B398:O398">
    <cfRule type="expression" dxfId="380" priority="164">
      <formula>$R$398</formula>
    </cfRule>
  </conditionalFormatting>
  <conditionalFormatting sqref="B399:O399">
    <cfRule type="expression" dxfId="379" priority="163">
      <formula>$R$399</formula>
    </cfRule>
  </conditionalFormatting>
  <conditionalFormatting sqref="B400:O400">
    <cfRule type="expression" dxfId="378" priority="162">
      <formula>$R$400</formula>
    </cfRule>
  </conditionalFormatting>
  <conditionalFormatting sqref="B401:O401">
    <cfRule type="expression" dxfId="377" priority="161">
      <formula>$R$401</formula>
    </cfRule>
  </conditionalFormatting>
  <conditionalFormatting sqref="B402:O402">
    <cfRule type="expression" dxfId="376" priority="160">
      <formula>$R$402</formula>
    </cfRule>
  </conditionalFormatting>
  <conditionalFormatting sqref="B403:O403">
    <cfRule type="expression" dxfId="375" priority="159">
      <formula>$R$403</formula>
    </cfRule>
  </conditionalFormatting>
  <conditionalFormatting sqref="B404:O404">
    <cfRule type="expression" dxfId="374" priority="158">
      <formula>$R$404</formula>
    </cfRule>
  </conditionalFormatting>
  <conditionalFormatting sqref="B405:O405">
    <cfRule type="expression" dxfId="373" priority="157">
      <formula>$R$405</formula>
    </cfRule>
  </conditionalFormatting>
  <conditionalFormatting sqref="B406:O406">
    <cfRule type="expression" dxfId="372" priority="156">
      <formula>$R$406</formula>
    </cfRule>
  </conditionalFormatting>
  <conditionalFormatting sqref="B407:O407">
    <cfRule type="expression" dxfId="371" priority="155">
      <formula>$R$407</formula>
    </cfRule>
  </conditionalFormatting>
  <conditionalFormatting sqref="B408:O408">
    <cfRule type="expression" dxfId="370" priority="154">
      <formula>$R$408</formula>
    </cfRule>
  </conditionalFormatting>
  <conditionalFormatting sqref="B409:O409">
    <cfRule type="expression" dxfId="369" priority="153">
      <formula>$R$409</formula>
    </cfRule>
  </conditionalFormatting>
  <conditionalFormatting sqref="B410:O410">
    <cfRule type="expression" dxfId="368" priority="152">
      <formula>$R$410</formula>
    </cfRule>
  </conditionalFormatting>
  <conditionalFormatting sqref="B411:O411">
    <cfRule type="expression" dxfId="367" priority="151">
      <formula>$R$411</formula>
    </cfRule>
  </conditionalFormatting>
  <conditionalFormatting sqref="B412:O412">
    <cfRule type="expression" dxfId="366" priority="150">
      <formula>$R$412</formula>
    </cfRule>
  </conditionalFormatting>
  <conditionalFormatting sqref="B413:O413">
    <cfRule type="expression" dxfId="365" priority="149">
      <formula>$R$413</formula>
    </cfRule>
  </conditionalFormatting>
  <conditionalFormatting sqref="B414:O414">
    <cfRule type="expression" dxfId="364" priority="148">
      <formula>$R$414</formula>
    </cfRule>
  </conditionalFormatting>
  <conditionalFormatting sqref="B415:O415">
    <cfRule type="expression" dxfId="363" priority="147">
      <formula>$R$415</formula>
    </cfRule>
  </conditionalFormatting>
  <conditionalFormatting sqref="B416:O416">
    <cfRule type="expression" dxfId="362" priority="146">
      <formula>$R$416</formula>
    </cfRule>
  </conditionalFormatting>
  <conditionalFormatting sqref="B417:O417">
    <cfRule type="expression" dxfId="361" priority="145">
      <formula>$R$417</formula>
    </cfRule>
  </conditionalFormatting>
  <conditionalFormatting sqref="B418:O418">
    <cfRule type="expression" dxfId="360" priority="144">
      <formula>$R$418</formula>
    </cfRule>
  </conditionalFormatting>
  <conditionalFormatting sqref="B419:O419">
    <cfRule type="expression" dxfId="359" priority="143">
      <formula>$R$419</formula>
    </cfRule>
  </conditionalFormatting>
  <conditionalFormatting sqref="B420:O420">
    <cfRule type="expression" dxfId="358" priority="142">
      <formula>$R$420</formula>
    </cfRule>
  </conditionalFormatting>
  <conditionalFormatting sqref="B421:O421">
    <cfRule type="expression" dxfId="357" priority="141">
      <formula>$R$421</formula>
    </cfRule>
  </conditionalFormatting>
  <conditionalFormatting sqref="B422:O422">
    <cfRule type="expression" dxfId="356" priority="140">
      <formula>$R$422</formula>
    </cfRule>
  </conditionalFormatting>
  <conditionalFormatting sqref="B423:O423">
    <cfRule type="expression" dxfId="355" priority="139">
      <formula>$R$423</formula>
    </cfRule>
  </conditionalFormatting>
  <conditionalFormatting sqref="B424:O424">
    <cfRule type="expression" dxfId="354" priority="138">
      <formula>$R$424</formula>
    </cfRule>
  </conditionalFormatting>
  <conditionalFormatting sqref="B425:O425">
    <cfRule type="expression" dxfId="353" priority="137">
      <formula>$R$425</formula>
    </cfRule>
  </conditionalFormatting>
  <conditionalFormatting sqref="B426:O426">
    <cfRule type="expression" dxfId="352" priority="136">
      <formula>$R$426</formula>
    </cfRule>
  </conditionalFormatting>
  <conditionalFormatting sqref="B427:O427">
    <cfRule type="expression" dxfId="351" priority="135">
      <formula>$R$427</formula>
    </cfRule>
  </conditionalFormatting>
  <conditionalFormatting sqref="B428:O428">
    <cfRule type="expression" dxfId="350" priority="134">
      <formula>$R$428</formula>
    </cfRule>
  </conditionalFormatting>
  <conditionalFormatting sqref="B429:O429">
    <cfRule type="expression" dxfId="349" priority="133">
      <formula>$R$429</formula>
    </cfRule>
  </conditionalFormatting>
  <conditionalFormatting sqref="B430:O430">
    <cfRule type="expression" dxfId="348" priority="132">
      <formula>$R$430</formula>
    </cfRule>
  </conditionalFormatting>
  <conditionalFormatting sqref="B431:O431">
    <cfRule type="expression" dxfId="347" priority="131">
      <formula>$R$431</formula>
    </cfRule>
  </conditionalFormatting>
  <conditionalFormatting sqref="B432:O432">
    <cfRule type="expression" dxfId="346" priority="130">
      <formula>$R$432</formula>
    </cfRule>
  </conditionalFormatting>
  <conditionalFormatting sqref="B433:O433">
    <cfRule type="expression" dxfId="345" priority="129">
      <formula>$R$433</formula>
    </cfRule>
  </conditionalFormatting>
  <conditionalFormatting sqref="B434:O434">
    <cfRule type="expression" dxfId="344" priority="128">
      <formula>$R$434</formula>
    </cfRule>
  </conditionalFormatting>
  <conditionalFormatting sqref="B435:O435">
    <cfRule type="expression" dxfId="343" priority="127">
      <formula>$R$435</formula>
    </cfRule>
  </conditionalFormatting>
  <conditionalFormatting sqref="B436:O436">
    <cfRule type="expression" dxfId="342" priority="126">
      <formula>$R$436</formula>
    </cfRule>
  </conditionalFormatting>
  <conditionalFormatting sqref="B437:O437">
    <cfRule type="expression" dxfId="341" priority="125">
      <formula>$R$437</formula>
    </cfRule>
  </conditionalFormatting>
  <conditionalFormatting sqref="B438:O438">
    <cfRule type="expression" dxfId="340" priority="124">
      <formula>$R$438</formula>
    </cfRule>
  </conditionalFormatting>
  <conditionalFormatting sqref="B439:O439">
    <cfRule type="expression" dxfId="339" priority="123">
      <formula>$R$439</formula>
    </cfRule>
  </conditionalFormatting>
  <conditionalFormatting sqref="B440:O440">
    <cfRule type="expression" dxfId="338" priority="122">
      <formula>$R$440</formula>
    </cfRule>
  </conditionalFormatting>
  <conditionalFormatting sqref="B441:O441">
    <cfRule type="expression" dxfId="337" priority="121">
      <formula>$R$441</formula>
    </cfRule>
  </conditionalFormatting>
  <conditionalFormatting sqref="B442:O442">
    <cfRule type="expression" dxfId="336" priority="120">
      <formula>$R$442</formula>
    </cfRule>
  </conditionalFormatting>
  <conditionalFormatting sqref="B443:O443">
    <cfRule type="expression" dxfId="335" priority="119">
      <formula>$R$443</formula>
    </cfRule>
  </conditionalFormatting>
  <conditionalFormatting sqref="B444:O444">
    <cfRule type="expression" dxfId="334" priority="118">
      <formula>$R$444</formula>
    </cfRule>
  </conditionalFormatting>
  <conditionalFormatting sqref="B445:O445">
    <cfRule type="expression" dxfId="333" priority="117">
      <formula>$R$445</formula>
    </cfRule>
  </conditionalFormatting>
  <conditionalFormatting sqref="B446:O446">
    <cfRule type="expression" dxfId="332" priority="116">
      <formula>$R$446</formula>
    </cfRule>
  </conditionalFormatting>
  <conditionalFormatting sqref="B447:O447">
    <cfRule type="expression" dxfId="331" priority="115">
      <formula>$R$447</formula>
    </cfRule>
  </conditionalFormatting>
  <conditionalFormatting sqref="B448:O448">
    <cfRule type="expression" dxfId="330" priority="114">
      <formula>$R$448</formula>
    </cfRule>
  </conditionalFormatting>
  <conditionalFormatting sqref="B449:O449">
    <cfRule type="expression" dxfId="329" priority="113">
      <formula>$R$449</formula>
    </cfRule>
  </conditionalFormatting>
  <conditionalFormatting sqref="B450:O450">
    <cfRule type="expression" dxfId="328" priority="112">
      <formula>$R$450</formula>
    </cfRule>
  </conditionalFormatting>
  <conditionalFormatting sqref="B451:O451">
    <cfRule type="expression" dxfId="327" priority="111">
      <formula>$R$451</formula>
    </cfRule>
  </conditionalFormatting>
  <conditionalFormatting sqref="B452:O452">
    <cfRule type="expression" dxfId="326" priority="110">
      <formula>$R$452</formula>
    </cfRule>
  </conditionalFormatting>
  <conditionalFormatting sqref="B453:O453">
    <cfRule type="expression" dxfId="325" priority="109">
      <formula>$R$453</formula>
    </cfRule>
  </conditionalFormatting>
  <conditionalFormatting sqref="B454:O454">
    <cfRule type="expression" dxfId="324" priority="108">
      <formula>$R$454</formula>
    </cfRule>
  </conditionalFormatting>
  <conditionalFormatting sqref="B455:O455">
    <cfRule type="expression" dxfId="323" priority="107">
      <formula>$R$455</formula>
    </cfRule>
  </conditionalFormatting>
  <conditionalFormatting sqref="B456:O456">
    <cfRule type="expression" dxfId="322" priority="106">
      <formula>$R$456</formula>
    </cfRule>
  </conditionalFormatting>
  <conditionalFormatting sqref="B457:O457">
    <cfRule type="expression" dxfId="321" priority="105">
      <formula>$R$457</formula>
    </cfRule>
  </conditionalFormatting>
  <conditionalFormatting sqref="B458:O458">
    <cfRule type="expression" dxfId="320" priority="104">
      <formula>$R$458</formula>
    </cfRule>
  </conditionalFormatting>
  <conditionalFormatting sqref="B459:O459">
    <cfRule type="expression" dxfId="319" priority="103">
      <formula>$R$459</formula>
    </cfRule>
  </conditionalFormatting>
  <conditionalFormatting sqref="B460:O460">
    <cfRule type="expression" dxfId="318" priority="102">
      <formula>$R$460</formula>
    </cfRule>
  </conditionalFormatting>
  <conditionalFormatting sqref="B461:O461">
    <cfRule type="expression" dxfId="317" priority="101">
      <formula>$R$461</formula>
    </cfRule>
  </conditionalFormatting>
  <conditionalFormatting sqref="B462:O462">
    <cfRule type="expression" dxfId="316" priority="100">
      <formula>$R$462</formula>
    </cfRule>
  </conditionalFormatting>
  <conditionalFormatting sqref="B463:O463">
    <cfRule type="expression" dxfId="315" priority="99">
      <formula>$R$463</formula>
    </cfRule>
  </conditionalFormatting>
  <conditionalFormatting sqref="B464:O464">
    <cfRule type="expression" dxfId="314" priority="98">
      <formula>$R$464</formula>
    </cfRule>
  </conditionalFormatting>
  <conditionalFormatting sqref="B465:O465">
    <cfRule type="expression" dxfId="313" priority="97">
      <formula>$R$465</formula>
    </cfRule>
  </conditionalFormatting>
  <conditionalFormatting sqref="B466:O466">
    <cfRule type="expression" dxfId="312" priority="96">
      <formula>$R$466</formula>
    </cfRule>
  </conditionalFormatting>
  <conditionalFormatting sqref="B467:O467">
    <cfRule type="expression" dxfId="311" priority="95">
      <formula>$R$467</formula>
    </cfRule>
  </conditionalFormatting>
  <conditionalFormatting sqref="B468:O468">
    <cfRule type="expression" dxfId="310" priority="94">
      <formula>$R$468</formula>
    </cfRule>
  </conditionalFormatting>
  <conditionalFormatting sqref="B469:O469">
    <cfRule type="expression" dxfId="309" priority="93">
      <formula>$R$469</formula>
    </cfRule>
  </conditionalFormatting>
  <conditionalFormatting sqref="B470:O470">
    <cfRule type="expression" dxfId="308" priority="92">
      <formula>$R$470</formula>
    </cfRule>
  </conditionalFormatting>
  <conditionalFormatting sqref="B471:O471">
    <cfRule type="expression" dxfId="307" priority="91">
      <formula>$R$471</formula>
    </cfRule>
  </conditionalFormatting>
  <conditionalFormatting sqref="B472:O472">
    <cfRule type="expression" dxfId="306" priority="90">
      <formula>$R$472</formula>
    </cfRule>
  </conditionalFormatting>
  <conditionalFormatting sqref="B473:O473">
    <cfRule type="expression" dxfId="305" priority="89">
      <formula>$R$473</formula>
    </cfRule>
  </conditionalFormatting>
  <conditionalFormatting sqref="B474:O474">
    <cfRule type="expression" dxfId="304" priority="88">
      <formula>$R$474</formula>
    </cfRule>
  </conditionalFormatting>
  <conditionalFormatting sqref="B475:O475">
    <cfRule type="expression" dxfId="303" priority="87">
      <formula>$R$475</formula>
    </cfRule>
  </conditionalFormatting>
  <conditionalFormatting sqref="B476:O476">
    <cfRule type="expression" dxfId="302" priority="86">
      <formula>$R$476</formula>
    </cfRule>
  </conditionalFormatting>
  <conditionalFormatting sqref="B477:O477">
    <cfRule type="expression" dxfId="301" priority="85">
      <formula>$R$477</formula>
    </cfRule>
  </conditionalFormatting>
  <conditionalFormatting sqref="B478:O478">
    <cfRule type="expression" dxfId="300" priority="84">
      <formula>$R$478</formula>
    </cfRule>
  </conditionalFormatting>
  <conditionalFormatting sqref="B479:O479">
    <cfRule type="expression" dxfId="299" priority="83">
      <formula>$R$479</formula>
    </cfRule>
  </conditionalFormatting>
  <conditionalFormatting sqref="B480:O480">
    <cfRule type="expression" dxfId="298" priority="82">
      <formula>$R$480</formula>
    </cfRule>
  </conditionalFormatting>
  <conditionalFormatting sqref="B481:O481">
    <cfRule type="expression" dxfId="297" priority="81">
      <formula>$R$481</formula>
    </cfRule>
  </conditionalFormatting>
  <conditionalFormatting sqref="B482:O482">
    <cfRule type="expression" dxfId="296" priority="80">
      <formula>$R$482</formula>
    </cfRule>
  </conditionalFormatting>
  <conditionalFormatting sqref="B483:O483">
    <cfRule type="expression" dxfId="295" priority="79">
      <formula>$R$483</formula>
    </cfRule>
  </conditionalFormatting>
  <conditionalFormatting sqref="B484:O484">
    <cfRule type="expression" dxfId="294" priority="78">
      <formula>$R$484</formula>
    </cfRule>
  </conditionalFormatting>
  <conditionalFormatting sqref="B485:O485">
    <cfRule type="expression" dxfId="293" priority="77">
      <formula>$R$485</formula>
    </cfRule>
  </conditionalFormatting>
  <conditionalFormatting sqref="B486:O486">
    <cfRule type="expression" dxfId="292" priority="76">
      <formula>$R$486</formula>
    </cfRule>
  </conditionalFormatting>
  <conditionalFormatting sqref="B487:O487">
    <cfRule type="expression" dxfId="291" priority="75">
      <formula>$R$487</formula>
    </cfRule>
  </conditionalFormatting>
  <conditionalFormatting sqref="B487:O509">
    <cfRule type="expression" dxfId="290" priority="9234">
      <formula>$U487</formula>
    </cfRule>
    <cfRule type="expression" dxfId="289" priority="9233">
      <formula>AND($P487,NOT($U487))</formula>
    </cfRule>
  </conditionalFormatting>
  <conditionalFormatting sqref="B488:O488">
    <cfRule type="expression" dxfId="288" priority="74">
      <formula>$R$488</formula>
    </cfRule>
  </conditionalFormatting>
  <conditionalFormatting sqref="B489:O489">
    <cfRule type="expression" dxfId="287" priority="73">
      <formula>$R$489</formula>
    </cfRule>
  </conditionalFormatting>
  <conditionalFormatting sqref="B490:O490">
    <cfRule type="expression" dxfId="286" priority="72">
      <formula>$R$490</formula>
    </cfRule>
  </conditionalFormatting>
  <conditionalFormatting sqref="B491:O491">
    <cfRule type="expression" dxfId="285" priority="71">
      <formula>$R$491</formula>
    </cfRule>
  </conditionalFormatting>
  <conditionalFormatting sqref="B492:O492">
    <cfRule type="expression" dxfId="284" priority="70">
      <formula>$R$492</formula>
    </cfRule>
  </conditionalFormatting>
  <conditionalFormatting sqref="B493:O493">
    <cfRule type="expression" dxfId="283" priority="69">
      <formula>$R$493</formula>
    </cfRule>
  </conditionalFormatting>
  <conditionalFormatting sqref="B494:O494">
    <cfRule type="expression" dxfId="282" priority="68">
      <formula>$R$494</formula>
    </cfRule>
  </conditionalFormatting>
  <conditionalFormatting sqref="B495:O495">
    <cfRule type="expression" dxfId="281" priority="67">
      <formula>$R$495</formula>
    </cfRule>
  </conditionalFormatting>
  <conditionalFormatting sqref="B496:O496">
    <cfRule type="expression" dxfId="280" priority="66">
      <formula>$R$496</formula>
    </cfRule>
  </conditionalFormatting>
  <conditionalFormatting sqref="B497:O497">
    <cfRule type="expression" dxfId="279" priority="65">
      <formula>$R$497</formula>
    </cfRule>
  </conditionalFormatting>
  <conditionalFormatting sqref="B498:O498">
    <cfRule type="expression" dxfId="278" priority="64">
      <formula>$R$498</formula>
    </cfRule>
  </conditionalFormatting>
  <conditionalFormatting sqref="B499:O499">
    <cfRule type="expression" dxfId="277" priority="63">
      <formula>$R$499</formula>
    </cfRule>
  </conditionalFormatting>
  <conditionalFormatting sqref="B500:O500">
    <cfRule type="expression" dxfId="276" priority="62">
      <formula>$R$500</formula>
    </cfRule>
  </conditionalFormatting>
  <conditionalFormatting sqref="B501:O501">
    <cfRule type="expression" dxfId="275" priority="61">
      <formula>$R$501</formula>
    </cfRule>
  </conditionalFormatting>
  <conditionalFormatting sqref="B502:O502">
    <cfRule type="expression" dxfId="274" priority="60">
      <formula>$R$502</formula>
    </cfRule>
  </conditionalFormatting>
  <conditionalFormatting sqref="B503:O503">
    <cfRule type="expression" dxfId="273" priority="59">
      <formula>$R$503</formula>
    </cfRule>
  </conditionalFormatting>
  <conditionalFormatting sqref="B504:O504">
    <cfRule type="expression" dxfId="272" priority="58">
      <formula>$R$504</formula>
    </cfRule>
  </conditionalFormatting>
  <conditionalFormatting sqref="B505:O505">
    <cfRule type="expression" dxfId="271" priority="57">
      <formula>$R$505</formula>
    </cfRule>
  </conditionalFormatting>
  <conditionalFormatting sqref="B506:O506">
    <cfRule type="expression" dxfId="270" priority="56">
      <formula>$R$506</formula>
    </cfRule>
  </conditionalFormatting>
  <conditionalFormatting sqref="B507:O507">
    <cfRule type="expression" dxfId="269" priority="55">
      <formula>$R$507</formula>
    </cfRule>
  </conditionalFormatting>
  <conditionalFormatting sqref="B508:O508">
    <cfRule type="expression" dxfId="268" priority="54">
      <formula>$R$508</formula>
    </cfRule>
  </conditionalFormatting>
  <conditionalFormatting sqref="B509:O509">
    <cfRule type="expression" dxfId="267" priority="53">
      <formula>$R$509</formula>
    </cfRule>
  </conditionalFormatting>
  <conditionalFormatting sqref="B510:O510">
    <cfRule type="expression" dxfId="266" priority="52">
      <formula>$R$510</formula>
    </cfRule>
  </conditionalFormatting>
  <conditionalFormatting sqref="B511:O511">
    <cfRule type="expression" dxfId="265" priority="51">
      <formula>$R$511</formula>
    </cfRule>
  </conditionalFormatting>
  <conditionalFormatting sqref="B512:O512">
    <cfRule type="expression" dxfId="264" priority="50">
      <formula>$R$512</formula>
    </cfRule>
  </conditionalFormatting>
  <conditionalFormatting sqref="B513:O513">
    <cfRule type="expression" dxfId="263" priority="49">
      <formula>$R$513</formula>
    </cfRule>
  </conditionalFormatting>
  <conditionalFormatting sqref="B514:O514">
    <cfRule type="expression" dxfId="262" priority="48">
      <formula>$R$514</formula>
    </cfRule>
  </conditionalFormatting>
  <conditionalFormatting sqref="B515:O515">
    <cfRule type="expression" dxfId="261" priority="47">
      <formula>$R$515</formula>
    </cfRule>
  </conditionalFormatting>
  <conditionalFormatting sqref="B516:O516">
    <cfRule type="expression" dxfId="260" priority="46">
      <formula>$R$516</formula>
    </cfRule>
  </conditionalFormatting>
  <conditionalFormatting sqref="B517:O517">
    <cfRule type="expression" dxfId="259" priority="45">
      <formula>$R$517</formula>
    </cfRule>
  </conditionalFormatting>
  <conditionalFormatting sqref="B518:O518">
    <cfRule type="expression" dxfId="258" priority="44">
      <formula>$R$518</formula>
    </cfRule>
  </conditionalFormatting>
  <conditionalFormatting sqref="B519:O519">
    <cfRule type="expression" dxfId="257" priority="43">
      <formula>$R$519</formula>
    </cfRule>
  </conditionalFormatting>
  <conditionalFormatting sqref="B520:O520">
    <cfRule type="expression" dxfId="256" priority="42">
      <formula>$R$520</formula>
    </cfRule>
  </conditionalFormatting>
  <conditionalFormatting sqref="B521:O521">
    <cfRule type="expression" dxfId="255" priority="41">
      <formula>$R$521</formula>
    </cfRule>
  </conditionalFormatting>
  <conditionalFormatting sqref="B522:O522">
    <cfRule type="expression" dxfId="254" priority="40">
      <formula>$R$522</formula>
    </cfRule>
  </conditionalFormatting>
  <conditionalFormatting sqref="B523:O523">
    <cfRule type="expression" dxfId="253" priority="39">
      <formula>$R$523</formula>
    </cfRule>
  </conditionalFormatting>
  <conditionalFormatting sqref="B524:O524">
    <cfRule type="expression" dxfId="252" priority="38">
      <formula>$R$524</formula>
    </cfRule>
  </conditionalFormatting>
  <conditionalFormatting sqref="B525:O525">
    <cfRule type="expression" dxfId="251" priority="37">
      <formula>$R$525</formula>
    </cfRule>
  </conditionalFormatting>
  <conditionalFormatting sqref="B526:O526">
    <cfRule type="expression" dxfId="250" priority="36">
      <formula>$R$526</formula>
    </cfRule>
  </conditionalFormatting>
  <conditionalFormatting sqref="B527:O527">
    <cfRule type="expression" dxfId="249" priority="35">
      <formula>$R$527</formula>
    </cfRule>
  </conditionalFormatting>
  <conditionalFormatting sqref="B528:O528">
    <cfRule type="expression" dxfId="248" priority="34">
      <formula>$R$528</formula>
    </cfRule>
  </conditionalFormatting>
  <conditionalFormatting sqref="B529:O529">
    <cfRule type="expression" dxfId="247" priority="33">
      <formula>$R$529</formula>
    </cfRule>
  </conditionalFormatting>
  <conditionalFormatting sqref="B530:O530">
    <cfRule type="expression" dxfId="246" priority="32">
      <formula>$R$530</formula>
    </cfRule>
  </conditionalFormatting>
  <conditionalFormatting sqref="B531:O531">
    <cfRule type="expression" dxfId="245" priority="31">
      <formula>$R$531</formula>
    </cfRule>
  </conditionalFormatting>
  <conditionalFormatting sqref="B532:O532">
    <cfRule type="expression" dxfId="244" priority="30">
      <formula>$R$532</formula>
    </cfRule>
  </conditionalFormatting>
  <conditionalFormatting sqref="B533:O533">
    <cfRule type="expression" dxfId="243" priority="29">
      <formula>$R$533</formula>
    </cfRule>
  </conditionalFormatting>
  <conditionalFormatting sqref="B534:O534">
    <cfRule type="expression" dxfId="242" priority="28">
      <formula>$R$534</formula>
    </cfRule>
  </conditionalFormatting>
  <conditionalFormatting sqref="B535:O535">
    <cfRule type="expression" dxfId="241" priority="27">
      <formula>$R$535</formula>
    </cfRule>
  </conditionalFormatting>
  <conditionalFormatting sqref="B536:O536">
    <cfRule type="expression" dxfId="240" priority="26">
      <formula>$R$536</formula>
    </cfRule>
  </conditionalFormatting>
  <conditionalFormatting sqref="B537:O537">
    <cfRule type="expression" dxfId="239" priority="25">
      <formula>$R$537</formula>
    </cfRule>
  </conditionalFormatting>
  <conditionalFormatting sqref="B538:O538">
    <cfRule type="expression" dxfId="238" priority="24">
      <formula>$R$538</formula>
    </cfRule>
  </conditionalFormatting>
  <conditionalFormatting sqref="B539:O539">
    <cfRule type="expression" dxfId="237" priority="23">
      <formula>$R$539</formula>
    </cfRule>
  </conditionalFormatting>
  <conditionalFormatting sqref="B540:O540">
    <cfRule type="expression" dxfId="236" priority="22">
      <formula>$R$540</formula>
    </cfRule>
  </conditionalFormatting>
  <conditionalFormatting sqref="B541:O541">
    <cfRule type="expression" dxfId="235" priority="21">
      <formula>$R$541</formula>
    </cfRule>
  </conditionalFormatting>
  <conditionalFormatting sqref="B542:O542">
    <cfRule type="expression" dxfId="234" priority="20">
      <formula>$R$542</formula>
    </cfRule>
  </conditionalFormatting>
  <conditionalFormatting sqref="B543:O543">
    <cfRule type="expression" dxfId="233" priority="19">
      <formula>$R$543</formula>
    </cfRule>
  </conditionalFormatting>
  <conditionalFormatting sqref="B544:O544">
    <cfRule type="expression" dxfId="232" priority="18">
      <formula>$R$544</formula>
    </cfRule>
  </conditionalFormatting>
  <conditionalFormatting sqref="B545:O545">
    <cfRule type="expression" dxfId="231" priority="17">
      <formula>$R$545</formula>
    </cfRule>
  </conditionalFormatting>
  <conditionalFormatting sqref="B546:O546">
    <cfRule type="expression" dxfId="230" priority="16">
      <formula>$R$546</formula>
    </cfRule>
  </conditionalFormatting>
  <conditionalFormatting sqref="B547:O547">
    <cfRule type="expression" dxfId="229" priority="15">
      <formula>$R$547</formula>
    </cfRule>
  </conditionalFormatting>
  <conditionalFormatting sqref="B548:O548">
    <cfRule type="expression" dxfId="228" priority="14">
      <formula>$R$548</formula>
    </cfRule>
  </conditionalFormatting>
  <conditionalFormatting sqref="B549:O549">
    <cfRule type="expression" dxfId="227" priority="13">
      <formula>$R$549</formula>
    </cfRule>
  </conditionalFormatting>
  <conditionalFormatting sqref="B550:O550">
    <cfRule type="expression" dxfId="226" priority="12">
      <formula>$R$550</formula>
    </cfRule>
  </conditionalFormatting>
  <conditionalFormatting sqref="B551:O551">
    <cfRule type="expression" dxfId="225" priority="11">
      <formula>$R$551</formula>
    </cfRule>
  </conditionalFormatting>
  <conditionalFormatting sqref="B552:O552">
    <cfRule type="expression" dxfId="224" priority="10">
      <formula>$R$552</formula>
    </cfRule>
  </conditionalFormatting>
  <conditionalFormatting sqref="B553:O553">
    <cfRule type="expression" dxfId="223" priority="9">
      <formula>$R$553</formula>
    </cfRule>
  </conditionalFormatting>
  <conditionalFormatting sqref="B554:O554">
    <cfRule type="expression" dxfId="222" priority="8">
      <formula>$R$554</formula>
    </cfRule>
  </conditionalFormatting>
  <conditionalFormatting sqref="B555:O555">
    <cfRule type="expression" dxfId="221" priority="7">
      <formula>$R$555</formula>
    </cfRule>
  </conditionalFormatting>
  <conditionalFormatting sqref="B556:O556">
    <cfRule type="expression" dxfId="220" priority="6">
      <formula>$R$556</formula>
    </cfRule>
  </conditionalFormatting>
  <conditionalFormatting sqref="B557:O557">
    <cfRule type="expression" dxfId="219" priority="5">
      <formula>$R$557</formula>
    </cfRule>
  </conditionalFormatting>
  <conditionalFormatting sqref="B558:O558">
    <cfRule type="expression" dxfId="218" priority="4">
      <formula>$R$558</formula>
    </cfRule>
  </conditionalFormatting>
  <conditionalFormatting sqref="B559:O559">
    <cfRule type="expression" dxfId="217" priority="3">
      <formula>$R$559</formula>
    </cfRule>
  </conditionalFormatting>
  <conditionalFormatting sqref="B560:O560">
    <cfRule type="expression" dxfId="216" priority="2">
      <formula>$R$560</formula>
    </cfRule>
  </conditionalFormatting>
  <conditionalFormatting sqref="B561:O561">
    <cfRule type="expression" dxfId="215" priority="1">
      <formula>$R$561</formula>
    </cfRule>
  </conditionalFormatting>
  <conditionalFormatting sqref="B562:O562">
    <cfRule type="expression" dxfId="214" priority="2740">
      <formula>$R$562</formula>
    </cfRule>
  </conditionalFormatting>
  <conditionalFormatting sqref="B563:O563">
    <cfRule type="expression" dxfId="213" priority="2739">
      <formula>$R$563</formula>
    </cfRule>
  </conditionalFormatting>
  <conditionalFormatting sqref="B564:O564">
    <cfRule type="expression" dxfId="212" priority="2738">
      <formula>$R$564</formula>
    </cfRule>
  </conditionalFormatting>
  <conditionalFormatting sqref="T13:T486">
    <cfRule type="cellIs" dxfId="211" priority="3285" stopIfTrue="1" operator="equal">
      <formula>$M13</formula>
    </cfRule>
  </conditionalFormatting>
  <dataValidations count="1">
    <dataValidation type="list" allowBlank="1" showInputMessage="1" showErrorMessage="1" sqref="A12:A486" xr:uid="{00000000-0002-0000-0200-000000000000}">
      <formula1>"TRUE,FALSE"</formula1>
    </dataValidation>
  </dataValidations>
  <hyperlinks>
    <hyperlink ref="A3" location="Summary!A1" display="Touring Class Summary" xr:uid="{00000000-0004-0000-0200-000000000000}"/>
  </hyperlinks>
  <pageMargins left="0.7" right="0.7" top="0.75" bottom="0.75" header="0.3" footer="0.3"/>
  <pageSetup scale="71" fitToHeight="10" orientation="landscape" r:id="rId1"/>
  <headerFoot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384" r:id="rId4" name="Button 1400">
              <controlPr defaultSize="0" print="0" autoFill="0" autoPict="0" macro="[0]!CarSheetInsertRows">
                <anchor moveWithCells="1" sizeWithCells="1">
                  <from>
                    <xdr:col>20</xdr:col>
                    <xdr:colOff>28575</xdr:colOff>
                    <xdr:row>0</xdr:row>
                    <xdr:rowOff>19050</xdr:rowOff>
                  </from>
                  <to>
                    <xdr:col>21</xdr:col>
                    <xdr:colOff>581025</xdr:colOff>
                    <xdr:row>1</xdr:row>
                    <xdr:rowOff>19050</xdr:rowOff>
                  </to>
                </anchor>
              </controlPr>
            </control>
          </mc:Choice>
        </mc:AlternateContent>
        <mc:AlternateContent xmlns:mc="http://schemas.openxmlformats.org/markup-compatibility/2006">
          <mc:Choice Requires="x14">
            <control shapeId="43385" r:id="rId5" name="Button 1401">
              <controlPr defaultSize="0" print="0" autoFill="0" autoPict="0" macro="[0]!FormatCarSheet">
                <anchor moveWithCells="1" sizeWithCells="1">
                  <from>
                    <xdr:col>20</xdr:col>
                    <xdr:colOff>38100</xdr:colOff>
                    <xdr:row>1</xdr:row>
                    <xdr:rowOff>95250</xdr:rowOff>
                  </from>
                  <to>
                    <xdr:col>21</xdr:col>
                    <xdr:colOff>581025</xdr:colOff>
                    <xdr:row>2</xdr:row>
                    <xdr:rowOff>171450</xdr:rowOff>
                  </to>
                </anchor>
              </controlPr>
            </control>
          </mc:Choice>
        </mc:AlternateContent>
        <mc:AlternateContent xmlns:mc="http://schemas.openxmlformats.org/markup-compatibility/2006">
          <mc:Choice Requires="x14">
            <control shapeId="108998" r:id="rId6" name="Check Box 3526">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8999" r:id="rId7" name="Check Box 3527">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00" r:id="rId8" name="Check Box 3528">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01" r:id="rId9" name="Check Box 3529">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02" r:id="rId10" name="Check Box 3530">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03" r:id="rId11" name="Check Box 3531">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04" r:id="rId12" name="Check Box 3532">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05" r:id="rId13" name="Check Box 3533">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06" r:id="rId14" name="Check Box 3534">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07" r:id="rId15" name="Check Box 3535">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08" r:id="rId16" name="Check Box 3536">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09" r:id="rId17" name="Check Box 3537">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10" r:id="rId18" name="Check Box 3538">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11" r:id="rId19" name="Check Box 3539">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12" r:id="rId20" name="Check Box 3540">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13" r:id="rId21" name="Check Box 3541">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14" r:id="rId22" name="Check Box 3542">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15" r:id="rId23" name="Check Box 3543">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16" r:id="rId24" name="Check Box 3544">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17" r:id="rId25" name="Check Box 3545">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18" r:id="rId26" name="Check Box 3546">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19" r:id="rId27" name="Check Box 3547">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20" r:id="rId28" name="Check Box 3548">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21" r:id="rId29" name="Check Box 3549">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22" r:id="rId30" name="Check Box 3550">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23" r:id="rId31" name="Check Box 3551">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24" r:id="rId32" name="Check Box 3552">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25" r:id="rId33" name="Check Box 3553">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26" r:id="rId34" name="Check Box 3554">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27" r:id="rId35" name="Check Box 3555">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28" r:id="rId36" name="Check Box 3556">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29" r:id="rId37" name="Check Box 3557">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30" r:id="rId38" name="Check Box 3558">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31" r:id="rId39" name="Check Box 3559">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32" r:id="rId40" name="Check Box 3560">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33" r:id="rId41" name="Check Box 3561">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34" r:id="rId42" name="Check Box 3562">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35" r:id="rId43" name="Check Box 3563">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36" r:id="rId44" name="Check Box 3564">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37" r:id="rId45" name="Check Box 3565">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38" r:id="rId46" name="Check Box 3566">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39" r:id="rId47" name="Check Box 3567">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40" r:id="rId48" name="Check Box 3568">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41" r:id="rId49" name="Check Box 3569">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42" r:id="rId50" name="Check Box 3570">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43" r:id="rId51" name="Check Box 3571">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44" r:id="rId52" name="Check Box 3572">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45" r:id="rId53" name="Check Box 3573">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46" r:id="rId54" name="Check Box 3574">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47" r:id="rId55" name="Check Box 3575">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48" r:id="rId56" name="Check Box 3576">
              <controlPr defaultSize="0" autoFill="0" autoLine="0" autoPict="0">
                <anchor>
                  <from>
                    <xdr:col>0</xdr:col>
                    <xdr:colOff>0</xdr:colOff>
                    <xdr:row>536</xdr:row>
                    <xdr:rowOff>0</xdr:rowOff>
                  </from>
                  <to>
                    <xdr:col>5</xdr:col>
                    <xdr:colOff>0</xdr:colOff>
                    <xdr:row>537</xdr:row>
                    <xdr:rowOff>47625</xdr:rowOff>
                  </to>
                </anchor>
              </controlPr>
            </control>
          </mc:Choice>
        </mc:AlternateContent>
        <mc:AlternateContent xmlns:mc="http://schemas.openxmlformats.org/markup-compatibility/2006">
          <mc:Choice Requires="x14">
            <control shapeId="109049" r:id="rId57" name="Check Box 3577">
              <controlPr defaultSize="0" autoFill="0" autoLine="0" autoPict="0">
                <anchor>
                  <from>
                    <xdr:col>0</xdr:col>
                    <xdr:colOff>0</xdr:colOff>
                    <xdr:row>537</xdr:row>
                    <xdr:rowOff>0</xdr:rowOff>
                  </from>
                  <to>
                    <xdr:col>5</xdr:col>
                    <xdr:colOff>0</xdr:colOff>
                    <xdr:row>538</xdr:row>
                    <xdr:rowOff>47625</xdr:rowOff>
                  </to>
                </anchor>
              </controlPr>
            </control>
          </mc:Choice>
        </mc:AlternateContent>
        <mc:AlternateContent xmlns:mc="http://schemas.openxmlformats.org/markup-compatibility/2006">
          <mc:Choice Requires="x14">
            <control shapeId="109050" r:id="rId58" name="Check Box 3578">
              <controlPr defaultSize="0" autoFill="0" autoLine="0" autoPict="0">
                <anchor>
                  <from>
                    <xdr:col>0</xdr:col>
                    <xdr:colOff>0</xdr:colOff>
                    <xdr:row>538</xdr:row>
                    <xdr:rowOff>0</xdr:rowOff>
                  </from>
                  <to>
                    <xdr:col>5</xdr:col>
                    <xdr:colOff>0</xdr:colOff>
                    <xdr:row>539</xdr:row>
                    <xdr:rowOff>47625</xdr:rowOff>
                  </to>
                </anchor>
              </controlPr>
            </control>
          </mc:Choice>
        </mc:AlternateContent>
        <mc:AlternateContent xmlns:mc="http://schemas.openxmlformats.org/markup-compatibility/2006">
          <mc:Choice Requires="x14">
            <control shapeId="109051" r:id="rId59" name="Check Box 3579">
              <controlPr defaultSize="0" autoFill="0" autoLine="0" autoPict="0">
                <anchor>
                  <from>
                    <xdr:col>0</xdr:col>
                    <xdr:colOff>0</xdr:colOff>
                    <xdr:row>539</xdr:row>
                    <xdr:rowOff>0</xdr:rowOff>
                  </from>
                  <to>
                    <xdr:col>5</xdr:col>
                    <xdr:colOff>0</xdr:colOff>
                    <xdr:row>540</xdr:row>
                    <xdr:rowOff>47625</xdr:rowOff>
                  </to>
                </anchor>
              </controlPr>
            </control>
          </mc:Choice>
        </mc:AlternateContent>
        <mc:AlternateContent xmlns:mc="http://schemas.openxmlformats.org/markup-compatibility/2006">
          <mc:Choice Requires="x14">
            <control shapeId="109052" r:id="rId60" name="Check Box 3580">
              <controlPr defaultSize="0" autoFill="0" autoLine="0" autoPict="0">
                <anchor>
                  <from>
                    <xdr:col>0</xdr:col>
                    <xdr:colOff>0</xdr:colOff>
                    <xdr:row>540</xdr:row>
                    <xdr:rowOff>0</xdr:rowOff>
                  </from>
                  <to>
                    <xdr:col>5</xdr:col>
                    <xdr:colOff>0</xdr:colOff>
                    <xdr:row>541</xdr:row>
                    <xdr:rowOff>47625</xdr:rowOff>
                  </to>
                </anchor>
              </controlPr>
            </control>
          </mc:Choice>
        </mc:AlternateContent>
        <mc:AlternateContent xmlns:mc="http://schemas.openxmlformats.org/markup-compatibility/2006">
          <mc:Choice Requires="x14">
            <control shapeId="109053" r:id="rId61" name="Check Box 3581">
              <controlPr defaultSize="0" autoFill="0" autoLine="0" autoPict="0">
                <anchor>
                  <from>
                    <xdr:col>0</xdr:col>
                    <xdr:colOff>0</xdr:colOff>
                    <xdr:row>541</xdr:row>
                    <xdr:rowOff>0</xdr:rowOff>
                  </from>
                  <to>
                    <xdr:col>5</xdr:col>
                    <xdr:colOff>0</xdr:colOff>
                    <xdr:row>542</xdr:row>
                    <xdr:rowOff>47625</xdr:rowOff>
                  </to>
                </anchor>
              </controlPr>
            </control>
          </mc:Choice>
        </mc:AlternateContent>
        <mc:AlternateContent xmlns:mc="http://schemas.openxmlformats.org/markup-compatibility/2006">
          <mc:Choice Requires="x14">
            <control shapeId="109054" r:id="rId62" name="Check Box 3582">
              <controlPr defaultSize="0" autoFill="0" autoLine="0" autoPict="0">
                <anchor>
                  <from>
                    <xdr:col>0</xdr:col>
                    <xdr:colOff>0</xdr:colOff>
                    <xdr:row>542</xdr:row>
                    <xdr:rowOff>0</xdr:rowOff>
                  </from>
                  <to>
                    <xdr:col>5</xdr:col>
                    <xdr:colOff>0</xdr:colOff>
                    <xdr:row>543</xdr:row>
                    <xdr:rowOff>47625</xdr:rowOff>
                  </to>
                </anchor>
              </controlPr>
            </control>
          </mc:Choice>
        </mc:AlternateContent>
        <mc:AlternateContent xmlns:mc="http://schemas.openxmlformats.org/markup-compatibility/2006">
          <mc:Choice Requires="x14">
            <control shapeId="109055" r:id="rId63" name="Check Box 3583">
              <controlPr defaultSize="0" autoFill="0" autoLine="0" autoPict="0">
                <anchor>
                  <from>
                    <xdr:col>0</xdr:col>
                    <xdr:colOff>0</xdr:colOff>
                    <xdr:row>543</xdr:row>
                    <xdr:rowOff>0</xdr:rowOff>
                  </from>
                  <to>
                    <xdr:col>5</xdr:col>
                    <xdr:colOff>0</xdr:colOff>
                    <xdr:row>544</xdr:row>
                    <xdr:rowOff>47625</xdr:rowOff>
                  </to>
                </anchor>
              </controlPr>
            </control>
          </mc:Choice>
        </mc:AlternateContent>
        <mc:AlternateContent xmlns:mc="http://schemas.openxmlformats.org/markup-compatibility/2006">
          <mc:Choice Requires="x14">
            <control shapeId="109056" r:id="rId64" name="Check Box 3584">
              <controlPr defaultSize="0" autoFill="0" autoLine="0" autoPict="0">
                <anchor>
                  <from>
                    <xdr:col>0</xdr:col>
                    <xdr:colOff>0</xdr:colOff>
                    <xdr:row>544</xdr:row>
                    <xdr:rowOff>0</xdr:rowOff>
                  </from>
                  <to>
                    <xdr:col>5</xdr:col>
                    <xdr:colOff>0</xdr:colOff>
                    <xdr:row>545</xdr:row>
                    <xdr:rowOff>47625</xdr:rowOff>
                  </to>
                </anchor>
              </controlPr>
            </control>
          </mc:Choice>
        </mc:AlternateContent>
        <mc:AlternateContent xmlns:mc="http://schemas.openxmlformats.org/markup-compatibility/2006">
          <mc:Choice Requires="x14">
            <control shapeId="109057" r:id="rId65" name="Check Box 3585">
              <controlPr defaultSize="0" autoFill="0" autoLine="0" autoPict="0">
                <anchor>
                  <from>
                    <xdr:col>0</xdr:col>
                    <xdr:colOff>0</xdr:colOff>
                    <xdr:row>545</xdr:row>
                    <xdr:rowOff>0</xdr:rowOff>
                  </from>
                  <to>
                    <xdr:col>5</xdr:col>
                    <xdr:colOff>0</xdr:colOff>
                    <xdr:row>546</xdr:row>
                    <xdr:rowOff>47625</xdr:rowOff>
                  </to>
                </anchor>
              </controlPr>
            </control>
          </mc:Choice>
        </mc:AlternateContent>
        <mc:AlternateContent xmlns:mc="http://schemas.openxmlformats.org/markup-compatibility/2006">
          <mc:Choice Requires="x14">
            <control shapeId="109058" r:id="rId66" name="Check Box 3586">
              <controlPr defaultSize="0" autoFill="0" autoLine="0" autoPict="0">
                <anchor>
                  <from>
                    <xdr:col>0</xdr:col>
                    <xdr:colOff>0</xdr:colOff>
                    <xdr:row>546</xdr:row>
                    <xdr:rowOff>0</xdr:rowOff>
                  </from>
                  <to>
                    <xdr:col>5</xdr:col>
                    <xdr:colOff>0</xdr:colOff>
                    <xdr:row>547</xdr:row>
                    <xdr:rowOff>47625</xdr:rowOff>
                  </to>
                </anchor>
              </controlPr>
            </control>
          </mc:Choice>
        </mc:AlternateContent>
        <mc:AlternateContent xmlns:mc="http://schemas.openxmlformats.org/markup-compatibility/2006">
          <mc:Choice Requires="x14">
            <control shapeId="109059" r:id="rId67" name="Check Box 3587">
              <controlPr defaultSize="0" autoFill="0" autoLine="0" autoPict="0">
                <anchor>
                  <from>
                    <xdr:col>0</xdr:col>
                    <xdr:colOff>0</xdr:colOff>
                    <xdr:row>547</xdr:row>
                    <xdr:rowOff>0</xdr:rowOff>
                  </from>
                  <to>
                    <xdr:col>5</xdr:col>
                    <xdr:colOff>0</xdr:colOff>
                    <xdr:row>548</xdr:row>
                    <xdr:rowOff>47625</xdr:rowOff>
                  </to>
                </anchor>
              </controlPr>
            </control>
          </mc:Choice>
        </mc:AlternateContent>
        <mc:AlternateContent xmlns:mc="http://schemas.openxmlformats.org/markup-compatibility/2006">
          <mc:Choice Requires="x14">
            <control shapeId="109060" r:id="rId68" name="Check Box 3588">
              <controlPr defaultSize="0" autoFill="0" autoLine="0" autoPict="0">
                <anchor>
                  <from>
                    <xdr:col>0</xdr:col>
                    <xdr:colOff>0</xdr:colOff>
                    <xdr:row>548</xdr:row>
                    <xdr:rowOff>0</xdr:rowOff>
                  </from>
                  <to>
                    <xdr:col>5</xdr:col>
                    <xdr:colOff>0</xdr:colOff>
                    <xdr:row>549</xdr:row>
                    <xdr:rowOff>47625</xdr:rowOff>
                  </to>
                </anchor>
              </controlPr>
            </control>
          </mc:Choice>
        </mc:AlternateContent>
        <mc:AlternateContent xmlns:mc="http://schemas.openxmlformats.org/markup-compatibility/2006">
          <mc:Choice Requires="x14">
            <control shapeId="109061" r:id="rId69" name="Check Box 3589">
              <controlPr defaultSize="0" autoFill="0" autoLine="0" autoPict="0">
                <anchor>
                  <from>
                    <xdr:col>0</xdr:col>
                    <xdr:colOff>0</xdr:colOff>
                    <xdr:row>549</xdr:row>
                    <xdr:rowOff>0</xdr:rowOff>
                  </from>
                  <to>
                    <xdr:col>5</xdr:col>
                    <xdr:colOff>0</xdr:colOff>
                    <xdr:row>550</xdr:row>
                    <xdr:rowOff>47625</xdr:rowOff>
                  </to>
                </anchor>
              </controlPr>
            </control>
          </mc:Choice>
        </mc:AlternateContent>
        <mc:AlternateContent xmlns:mc="http://schemas.openxmlformats.org/markup-compatibility/2006">
          <mc:Choice Requires="x14">
            <control shapeId="109062" r:id="rId70" name="Check Box 3590">
              <controlPr defaultSize="0" autoFill="0" autoLine="0" autoPict="0">
                <anchor>
                  <from>
                    <xdr:col>0</xdr:col>
                    <xdr:colOff>0</xdr:colOff>
                    <xdr:row>550</xdr:row>
                    <xdr:rowOff>0</xdr:rowOff>
                  </from>
                  <to>
                    <xdr:col>5</xdr:col>
                    <xdr:colOff>0</xdr:colOff>
                    <xdr:row>551</xdr:row>
                    <xdr:rowOff>47625</xdr:rowOff>
                  </to>
                </anchor>
              </controlPr>
            </control>
          </mc:Choice>
        </mc:AlternateContent>
        <mc:AlternateContent xmlns:mc="http://schemas.openxmlformats.org/markup-compatibility/2006">
          <mc:Choice Requires="x14">
            <control shapeId="109063" r:id="rId71" name="Check Box 3591">
              <controlPr defaultSize="0" autoFill="0" autoLine="0" autoPict="0">
                <anchor>
                  <from>
                    <xdr:col>0</xdr:col>
                    <xdr:colOff>0</xdr:colOff>
                    <xdr:row>551</xdr:row>
                    <xdr:rowOff>0</xdr:rowOff>
                  </from>
                  <to>
                    <xdr:col>5</xdr:col>
                    <xdr:colOff>0</xdr:colOff>
                    <xdr:row>552</xdr:row>
                    <xdr:rowOff>47625</xdr:rowOff>
                  </to>
                </anchor>
              </controlPr>
            </control>
          </mc:Choice>
        </mc:AlternateContent>
        <mc:AlternateContent xmlns:mc="http://schemas.openxmlformats.org/markup-compatibility/2006">
          <mc:Choice Requires="x14">
            <control shapeId="109064" r:id="rId72" name="Check Box 3592">
              <controlPr defaultSize="0" autoFill="0" autoLine="0" autoPict="0">
                <anchor>
                  <from>
                    <xdr:col>0</xdr:col>
                    <xdr:colOff>0</xdr:colOff>
                    <xdr:row>552</xdr:row>
                    <xdr:rowOff>0</xdr:rowOff>
                  </from>
                  <to>
                    <xdr:col>5</xdr:col>
                    <xdr:colOff>0</xdr:colOff>
                    <xdr:row>553</xdr:row>
                    <xdr:rowOff>47625</xdr:rowOff>
                  </to>
                </anchor>
              </controlPr>
            </control>
          </mc:Choice>
        </mc:AlternateContent>
        <mc:AlternateContent xmlns:mc="http://schemas.openxmlformats.org/markup-compatibility/2006">
          <mc:Choice Requires="x14">
            <control shapeId="109065" r:id="rId73" name="Check Box 3593">
              <controlPr defaultSize="0" autoFill="0" autoLine="0" autoPict="0">
                <anchor>
                  <from>
                    <xdr:col>0</xdr:col>
                    <xdr:colOff>0</xdr:colOff>
                    <xdr:row>553</xdr:row>
                    <xdr:rowOff>0</xdr:rowOff>
                  </from>
                  <to>
                    <xdr:col>5</xdr:col>
                    <xdr:colOff>0</xdr:colOff>
                    <xdr:row>554</xdr:row>
                    <xdr:rowOff>47625</xdr:rowOff>
                  </to>
                </anchor>
              </controlPr>
            </control>
          </mc:Choice>
        </mc:AlternateContent>
        <mc:AlternateContent xmlns:mc="http://schemas.openxmlformats.org/markup-compatibility/2006">
          <mc:Choice Requires="x14">
            <control shapeId="109066" r:id="rId74" name="Check Box 3594">
              <controlPr defaultSize="0" autoFill="0" autoLine="0" autoPict="0">
                <anchor>
                  <from>
                    <xdr:col>0</xdr:col>
                    <xdr:colOff>0</xdr:colOff>
                    <xdr:row>554</xdr:row>
                    <xdr:rowOff>0</xdr:rowOff>
                  </from>
                  <to>
                    <xdr:col>5</xdr:col>
                    <xdr:colOff>0</xdr:colOff>
                    <xdr:row>555</xdr:row>
                    <xdr:rowOff>47625</xdr:rowOff>
                  </to>
                </anchor>
              </controlPr>
            </control>
          </mc:Choice>
        </mc:AlternateContent>
        <mc:AlternateContent xmlns:mc="http://schemas.openxmlformats.org/markup-compatibility/2006">
          <mc:Choice Requires="x14">
            <control shapeId="109067" r:id="rId75" name="Check Box 3595">
              <controlPr defaultSize="0" autoFill="0" autoLine="0" autoPict="0">
                <anchor>
                  <from>
                    <xdr:col>0</xdr:col>
                    <xdr:colOff>0</xdr:colOff>
                    <xdr:row>555</xdr:row>
                    <xdr:rowOff>0</xdr:rowOff>
                  </from>
                  <to>
                    <xdr:col>5</xdr:col>
                    <xdr:colOff>0</xdr:colOff>
                    <xdr:row>556</xdr:row>
                    <xdr:rowOff>47625</xdr:rowOff>
                  </to>
                </anchor>
              </controlPr>
            </control>
          </mc:Choice>
        </mc:AlternateContent>
        <mc:AlternateContent xmlns:mc="http://schemas.openxmlformats.org/markup-compatibility/2006">
          <mc:Choice Requires="x14">
            <control shapeId="109068" r:id="rId76" name="Check Box 3596">
              <controlPr defaultSize="0" autoFill="0" autoLine="0" autoPict="0">
                <anchor>
                  <from>
                    <xdr:col>0</xdr:col>
                    <xdr:colOff>0</xdr:colOff>
                    <xdr:row>556</xdr:row>
                    <xdr:rowOff>0</xdr:rowOff>
                  </from>
                  <to>
                    <xdr:col>5</xdr:col>
                    <xdr:colOff>0</xdr:colOff>
                    <xdr:row>557</xdr:row>
                    <xdr:rowOff>47625</xdr:rowOff>
                  </to>
                </anchor>
              </controlPr>
            </control>
          </mc:Choice>
        </mc:AlternateContent>
        <mc:AlternateContent xmlns:mc="http://schemas.openxmlformats.org/markup-compatibility/2006">
          <mc:Choice Requires="x14">
            <control shapeId="109069" r:id="rId77" name="Check Box 3597">
              <controlPr defaultSize="0" autoFill="0" autoLine="0" autoPict="0">
                <anchor>
                  <from>
                    <xdr:col>0</xdr:col>
                    <xdr:colOff>0</xdr:colOff>
                    <xdr:row>557</xdr:row>
                    <xdr:rowOff>0</xdr:rowOff>
                  </from>
                  <to>
                    <xdr:col>5</xdr:col>
                    <xdr:colOff>0</xdr:colOff>
                    <xdr:row>558</xdr:row>
                    <xdr:rowOff>47625</xdr:rowOff>
                  </to>
                </anchor>
              </controlPr>
            </control>
          </mc:Choice>
        </mc:AlternateContent>
        <mc:AlternateContent xmlns:mc="http://schemas.openxmlformats.org/markup-compatibility/2006">
          <mc:Choice Requires="x14">
            <control shapeId="109070" r:id="rId78" name="Check Box 3598">
              <controlPr defaultSize="0" autoFill="0" autoLine="0" autoPict="0">
                <anchor>
                  <from>
                    <xdr:col>0</xdr:col>
                    <xdr:colOff>0</xdr:colOff>
                    <xdr:row>558</xdr:row>
                    <xdr:rowOff>0</xdr:rowOff>
                  </from>
                  <to>
                    <xdr:col>5</xdr:col>
                    <xdr:colOff>0</xdr:colOff>
                    <xdr:row>559</xdr:row>
                    <xdr:rowOff>47625</xdr:rowOff>
                  </to>
                </anchor>
              </controlPr>
            </control>
          </mc:Choice>
        </mc:AlternateContent>
        <mc:AlternateContent xmlns:mc="http://schemas.openxmlformats.org/markup-compatibility/2006">
          <mc:Choice Requires="x14">
            <control shapeId="109071" r:id="rId79" name="Check Box 3599">
              <controlPr defaultSize="0" autoFill="0" autoLine="0" autoPict="0">
                <anchor>
                  <from>
                    <xdr:col>0</xdr:col>
                    <xdr:colOff>0</xdr:colOff>
                    <xdr:row>559</xdr:row>
                    <xdr:rowOff>0</xdr:rowOff>
                  </from>
                  <to>
                    <xdr:col>5</xdr:col>
                    <xdr:colOff>0</xdr:colOff>
                    <xdr:row>560</xdr:row>
                    <xdr:rowOff>47625</xdr:rowOff>
                  </to>
                </anchor>
              </controlPr>
            </control>
          </mc:Choice>
        </mc:AlternateContent>
        <mc:AlternateContent xmlns:mc="http://schemas.openxmlformats.org/markup-compatibility/2006">
          <mc:Choice Requires="x14">
            <control shapeId="109072" r:id="rId80" name="Check Box 3600">
              <controlPr defaultSize="0" autoFill="0" autoLine="0" autoPict="0">
                <anchor>
                  <from>
                    <xdr:col>0</xdr:col>
                    <xdr:colOff>0</xdr:colOff>
                    <xdr:row>560</xdr:row>
                    <xdr:rowOff>0</xdr:rowOff>
                  </from>
                  <to>
                    <xdr:col>5</xdr:col>
                    <xdr:colOff>0</xdr:colOff>
                    <xdr:row>561</xdr:row>
                    <xdr:rowOff>47625</xdr:rowOff>
                  </to>
                </anchor>
              </controlPr>
            </control>
          </mc:Choice>
        </mc:AlternateContent>
        <mc:AlternateContent xmlns:mc="http://schemas.openxmlformats.org/markup-compatibility/2006">
          <mc:Choice Requires="x14">
            <control shapeId="98283" r:id="rId81" name="Check Box 3051">
              <controlPr defaultSize="0" autoFill="0" autoLine="0" autoPict="0">
                <anchor>
                  <from>
                    <xdr:col>0</xdr:col>
                    <xdr:colOff>0</xdr:colOff>
                    <xdr:row>11</xdr:row>
                    <xdr:rowOff>0</xdr:rowOff>
                  </from>
                  <to>
                    <xdr:col>5</xdr:col>
                    <xdr:colOff>0</xdr:colOff>
                    <xdr:row>12</xdr:row>
                    <xdr:rowOff>47625</xdr:rowOff>
                  </to>
                </anchor>
              </controlPr>
            </control>
          </mc:Choice>
        </mc:AlternateContent>
        <mc:AlternateContent xmlns:mc="http://schemas.openxmlformats.org/markup-compatibility/2006">
          <mc:Choice Requires="x14">
            <control shapeId="98284" r:id="rId82" name="Check Box 3052">
              <controlPr defaultSize="0" autoFill="0" autoLine="0" autoPict="0">
                <anchor>
                  <from>
                    <xdr:col>0</xdr:col>
                    <xdr:colOff>0</xdr:colOff>
                    <xdr:row>12</xdr:row>
                    <xdr:rowOff>0</xdr:rowOff>
                  </from>
                  <to>
                    <xdr:col>5</xdr:col>
                    <xdr:colOff>0</xdr:colOff>
                    <xdr:row>13</xdr:row>
                    <xdr:rowOff>47625</xdr:rowOff>
                  </to>
                </anchor>
              </controlPr>
            </control>
          </mc:Choice>
        </mc:AlternateContent>
        <mc:AlternateContent xmlns:mc="http://schemas.openxmlformats.org/markup-compatibility/2006">
          <mc:Choice Requires="x14">
            <control shapeId="98285" r:id="rId83" name="Check Box 3053">
              <controlPr defaultSize="0" autoFill="0" autoLine="0" autoPict="0">
                <anchor>
                  <from>
                    <xdr:col>0</xdr:col>
                    <xdr:colOff>0</xdr:colOff>
                    <xdr:row>13</xdr:row>
                    <xdr:rowOff>0</xdr:rowOff>
                  </from>
                  <to>
                    <xdr:col>5</xdr:col>
                    <xdr:colOff>0</xdr:colOff>
                    <xdr:row>14</xdr:row>
                    <xdr:rowOff>47625</xdr:rowOff>
                  </to>
                </anchor>
              </controlPr>
            </control>
          </mc:Choice>
        </mc:AlternateContent>
        <mc:AlternateContent xmlns:mc="http://schemas.openxmlformats.org/markup-compatibility/2006">
          <mc:Choice Requires="x14">
            <control shapeId="98286" r:id="rId84" name="Check Box 3054">
              <controlPr defaultSize="0" autoFill="0" autoLine="0" autoPict="0">
                <anchor>
                  <from>
                    <xdr:col>0</xdr:col>
                    <xdr:colOff>0</xdr:colOff>
                    <xdr:row>14</xdr:row>
                    <xdr:rowOff>0</xdr:rowOff>
                  </from>
                  <to>
                    <xdr:col>5</xdr:col>
                    <xdr:colOff>0</xdr:colOff>
                    <xdr:row>15</xdr:row>
                    <xdr:rowOff>47625</xdr:rowOff>
                  </to>
                </anchor>
              </controlPr>
            </control>
          </mc:Choice>
        </mc:AlternateContent>
        <mc:AlternateContent xmlns:mc="http://schemas.openxmlformats.org/markup-compatibility/2006">
          <mc:Choice Requires="x14">
            <control shapeId="98287" r:id="rId85" name="Check Box 3055">
              <controlPr defaultSize="0" autoFill="0" autoLine="0" autoPict="0">
                <anchor>
                  <from>
                    <xdr:col>0</xdr:col>
                    <xdr:colOff>0</xdr:colOff>
                    <xdr:row>15</xdr:row>
                    <xdr:rowOff>0</xdr:rowOff>
                  </from>
                  <to>
                    <xdr:col>5</xdr:col>
                    <xdr:colOff>0</xdr:colOff>
                    <xdr:row>16</xdr:row>
                    <xdr:rowOff>47625</xdr:rowOff>
                  </to>
                </anchor>
              </controlPr>
            </control>
          </mc:Choice>
        </mc:AlternateContent>
        <mc:AlternateContent xmlns:mc="http://schemas.openxmlformats.org/markup-compatibility/2006">
          <mc:Choice Requires="x14">
            <control shapeId="98288" r:id="rId86" name="Check Box 3056">
              <controlPr defaultSize="0" autoFill="0" autoLine="0" autoPict="0">
                <anchor>
                  <from>
                    <xdr:col>0</xdr:col>
                    <xdr:colOff>0</xdr:colOff>
                    <xdr:row>16</xdr:row>
                    <xdr:rowOff>0</xdr:rowOff>
                  </from>
                  <to>
                    <xdr:col>5</xdr:col>
                    <xdr:colOff>0</xdr:colOff>
                    <xdr:row>17</xdr:row>
                    <xdr:rowOff>47625</xdr:rowOff>
                  </to>
                </anchor>
              </controlPr>
            </control>
          </mc:Choice>
        </mc:AlternateContent>
        <mc:AlternateContent xmlns:mc="http://schemas.openxmlformats.org/markup-compatibility/2006">
          <mc:Choice Requires="x14">
            <control shapeId="98289" r:id="rId87" name="Check Box 3057">
              <controlPr defaultSize="0" autoFill="0" autoLine="0" autoPict="0">
                <anchor>
                  <from>
                    <xdr:col>0</xdr:col>
                    <xdr:colOff>0</xdr:colOff>
                    <xdr:row>17</xdr:row>
                    <xdr:rowOff>0</xdr:rowOff>
                  </from>
                  <to>
                    <xdr:col>5</xdr:col>
                    <xdr:colOff>0</xdr:colOff>
                    <xdr:row>18</xdr:row>
                    <xdr:rowOff>47625</xdr:rowOff>
                  </to>
                </anchor>
              </controlPr>
            </control>
          </mc:Choice>
        </mc:AlternateContent>
        <mc:AlternateContent xmlns:mc="http://schemas.openxmlformats.org/markup-compatibility/2006">
          <mc:Choice Requires="x14">
            <control shapeId="98290" r:id="rId88" name="Check Box 3058">
              <controlPr defaultSize="0" autoFill="0" autoLine="0" autoPict="0">
                <anchor>
                  <from>
                    <xdr:col>0</xdr:col>
                    <xdr:colOff>0</xdr:colOff>
                    <xdr:row>18</xdr:row>
                    <xdr:rowOff>0</xdr:rowOff>
                  </from>
                  <to>
                    <xdr:col>5</xdr:col>
                    <xdr:colOff>0</xdr:colOff>
                    <xdr:row>19</xdr:row>
                    <xdr:rowOff>47625</xdr:rowOff>
                  </to>
                </anchor>
              </controlPr>
            </control>
          </mc:Choice>
        </mc:AlternateContent>
        <mc:AlternateContent xmlns:mc="http://schemas.openxmlformats.org/markup-compatibility/2006">
          <mc:Choice Requires="x14">
            <control shapeId="98291" r:id="rId89" name="Check Box 3059">
              <controlPr defaultSize="0" autoFill="0" autoLine="0" autoPict="0">
                <anchor>
                  <from>
                    <xdr:col>0</xdr:col>
                    <xdr:colOff>0</xdr:colOff>
                    <xdr:row>19</xdr:row>
                    <xdr:rowOff>0</xdr:rowOff>
                  </from>
                  <to>
                    <xdr:col>5</xdr:col>
                    <xdr:colOff>0</xdr:colOff>
                    <xdr:row>20</xdr:row>
                    <xdr:rowOff>47625</xdr:rowOff>
                  </to>
                </anchor>
              </controlPr>
            </control>
          </mc:Choice>
        </mc:AlternateContent>
        <mc:AlternateContent xmlns:mc="http://schemas.openxmlformats.org/markup-compatibility/2006">
          <mc:Choice Requires="x14">
            <control shapeId="98292" r:id="rId90" name="Check Box 3060">
              <controlPr defaultSize="0" autoFill="0" autoLine="0" autoPict="0">
                <anchor>
                  <from>
                    <xdr:col>0</xdr:col>
                    <xdr:colOff>0</xdr:colOff>
                    <xdr:row>20</xdr:row>
                    <xdr:rowOff>0</xdr:rowOff>
                  </from>
                  <to>
                    <xdr:col>5</xdr:col>
                    <xdr:colOff>0</xdr:colOff>
                    <xdr:row>21</xdr:row>
                    <xdr:rowOff>47625</xdr:rowOff>
                  </to>
                </anchor>
              </controlPr>
            </control>
          </mc:Choice>
        </mc:AlternateContent>
        <mc:AlternateContent xmlns:mc="http://schemas.openxmlformats.org/markup-compatibility/2006">
          <mc:Choice Requires="x14">
            <control shapeId="98293" r:id="rId91" name="Check Box 3061">
              <controlPr defaultSize="0" autoFill="0" autoLine="0" autoPict="0">
                <anchor>
                  <from>
                    <xdr:col>0</xdr:col>
                    <xdr:colOff>0</xdr:colOff>
                    <xdr:row>21</xdr:row>
                    <xdr:rowOff>0</xdr:rowOff>
                  </from>
                  <to>
                    <xdr:col>5</xdr:col>
                    <xdr:colOff>0</xdr:colOff>
                    <xdr:row>22</xdr:row>
                    <xdr:rowOff>47625</xdr:rowOff>
                  </to>
                </anchor>
              </controlPr>
            </control>
          </mc:Choice>
        </mc:AlternateContent>
        <mc:AlternateContent xmlns:mc="http://schemas.openxmlformats.org/markup-compatibility/2006">
          <mc:Choice Requires="x14">
            <control shapeId="98294" r:id="rId92" name="Check Box 3062">
              <controlPr defaultSize="0" autoFill="0" autoLine="0" autoPict="0">
                <anchor>
                  <from>
                    <xdr:col>0</xdr:col>
                    <xdr:colOff>0</xdr:colOff>
                    <xdr:row>22</xdr:row>
                    <xdr:rowOff>0</xdr:rowOff>
                  </from>
                  <to>
                    <xdr:col>5</xdr:col>
                    <xdr:colOff>0</xdr:colOff>
                    <xdr:row>23</xdr:row>
                    <xdr:rowOff>47625</xdr:rowOff>
                  </to>
                </anchor>
              </controlPr>
            </control>
          </mc:Choice>
        </mc:AlternateContent>
        <mc:AlternateContent xmlns:mc="http://schemas.openxmlformats.org/markup-compatibility/2006">
          <mc:Choice Requires="x14">
            <control shapeId="98295" r:id="rId93" name="Check Box 3063">
              <controlPr defaultSize="0" autoFill="0" autoLine="0" autoPict="0">
                <anchor>
                  <from>
                    <xdr:col>0</xdr:col>
                    <xdr:colOff>0</xdr:colOff>
                    <xdr:row>23</xdr:row>
                    <xdr:rowOff>0</xdr:rowOff>
                  </from>
                  <to>
                    <xdr:col>5</xdr:col>
                    <xdr:colOff>0</xdr:colOff>
                    <xdr:row>24</xdr:row>
                    <xdr:rowOff>47625</xdr:rowOff>
                  </to>
                </anchor>
              </controlPr>
            </control>
          </mc:Choice>
        </mc:AlternateContent>
        <mc:AlternateContent xmlns:mc="http://schemas.openxmlformats.org/markup-compatibility/2006">
          <mc:Choice Requires="x14">
            <control shapeId="98296" r:id="rId94" name="Check Box 3064">
              <controlPr defaultSize="0" autoFill="0" autoLine="0" autoPict="0">
                <anchor>
                  <from>
                    <xdr:col>0</xdr:col>
                    <xdr:colOff>0</xdr:colOff>
                    <xdr:row>24</xdr:row>
                    <xdr:rowOff>0</xdr:rowOff>
                  </from>
                  <to>
                    <xdr:col>5</xdr:col>
                    <xdr:colOff>0</xdr:colOff>
                    <xdr:row>25</xdr:row>
                    <xdr:rowOff>47625</xdr:rowOff>
                  </to>
                </anchor>
              </controlPr>
            </control>
          </mc:Choice>
        </mc:AlternateContent>
        <mc:AlternateContent xmlns:mc="http://schemas.openxmlformats.org/markup-compatibility/2006">
          <mc:Choice Requires="x14">
            <control shapeId="98297" r:id="rId95" name="Check Box 3065">
              <controlPr defaultSize="0" autoFill="0" autoLine="0" autoPict="0">
                <anchor>
                  <from>
                    <xdr:col>0</xdr:col>
                    <xdr:colOff>0</xdr:colOff>
                    <xdr:row>25</xdr:row>
                    <xdr:rowOff>0</xdr:rowOff>
                  </from>
                  <to>
                    <xdr:col>5</xdr:col>
                    <xdr:colOff>0</xdr:colOff>
                    <xdr:row>26</xdr:row>
                    <xdr:rowOff>47625</xdr:rowOff>
                  </to>
                </anchor>
              </controlPr>
            </control>
          </mc:Choice>
        </mc:AlternateContent>
        <mc:AlternateContent xmlns:mc="http://schemas.openxmlformats.org/markup-compatibility/2006">
          <mc:Choice Requires="x14">
            <control shapeId="98298" r:id="rId96" name="Check Box 3066">
              <controlPr defaultSize="0" autoFill="0" autoLine="0" autoPict="0">
                <anchor>
                  <from>
                    <xdr:col>0</xdr:col>
                    <xdr:colOff>0</xdr:colOff>
                    <xdr:row>26</xdr:row>
                    <xdr:rowOff>0</xdr:rowOff>
                  </from>
                  <to>
                    <xdr:col>5</xdr:col>
                    <xdr:colOff>0</xdr:colOff>
                    <xdr:row>27</xdr:row>
                    <xdr:rowOff>47625</xdr:rowOff>
                  </to>
                </anchor>
              </controlPr>
            </control>
          </mc:Choice>
        </mc:AlternateContent>
        <mc:AlternateContent xmlns:mc="http://schemas.openxmlformats.org/markup-compatibility/2006">
          <mc:Choice Requires="x14">
            <control shapeId="98299" r:id="rId97" name="Check Box 3067">
              <controlPr defaultSize="0" autoFill="0" autoLine="0" autoPict="0">
                <anchor>
                  <from>
                    <xdr:col>0</xdr:col>
                    <xdr:colOff>0</xdr:colOff>
                    <xdr:row>27</xdr:row>
                    <xdr:rowOff>0</xdr:rowOff>
                  </from>
                  <to>
                    <xdr:col>5</xdr:col>
                    <xdr:colOff>0</xdr:colOff>
                    <xdr:row>28</xdr:row>
                    <xdr:rowOff>47625</xdr:rowOff>
                  </to>
                </anchor>
              </controlPr>
            </control>
          </mc:Choice>
        </mc:AlternateContent>
        <mc:AlternateContent xmlns:mc="http://schemas.openxmlformats.org/markup-compatibility/2006">
          <mc:Choice Requires="x14">
            <control shapeId="98300" r:id="rId98" name="Check Box 3068">
              <controlPr defaultSize="0" autoFill="0" autoLine="0" autoPict="0">
                <anchor>
                  <from>
                    <xdr:col>0</xdr:col>
                    <xdr:colOff>0</xdr:colOff>
                    <xdr:row>28</xdr:row>
                    <xdr:rowOff>0</xdr:rowOff>
                  </from>
                  <to>
                    <xdr:col>5</xdr:col>
                    <xdr:colOff>0</xdr:colOff>
                    <xdr:row>29</xdr:row>
                    <xdr:rowOff>47625</xdr:rowOff>
                  </to>
                </anchor>
              </controlPr>
            </control>
          </mc:Choice>
        </mc:AlternateContent>
        <mc:AlternateContent xmlns:mc="http://schemas.openxmlformats.org/markup-compatibility/2006">
          <mc:Choice Requires="x14">
            <control shapeId="98301" r:id="rId99" name="Check Box 3069">
              <controlPr defaultSize="0" autoFill="0" autoLine="0" autoPict="0">
                <anchor>
                  <from>
                    <xdr:col>0</xdr:col>
                    <xdr:colOff>0</xdr:colOff>
                    <xdr:row>29</xdr:row>
                    <xdr:rowOff>0</xdr:rowOff>
                  </from>
                  <to>
                    <xdr:col>5</xdr:col>
                    <xdr:colOff>0</xdr:colOff>
                    <xdr:row>30</xdr:row>
                    <xdr:rowOff>47625</xdr:rowOff>
                  </to>
                </anchor>
              </controlPr>
            </control>
          </mc:Choice>
        </mc:AlternateContent>
        <mc:AlternateContent xmlns:mc="http://schemas.openxmlformats.org/markup-compatibility/2006">
          <mc:Choice Requires="x14">
            <control shapeId="98302" r:id="rId100" name="Check Box 3070">
              <controlPr defaultSize="0" autoFill="0" autoLine="0" autoPict="0">
                <anchor>
                  <from>
                    <xdr:col>0</xdr:col>
                    <xdr:colOff>0</xdr:colOff>
                    <xdr:row>30</xdr:row>
                    <xdr:rowOff>0</xdr:rowOff>
                  </from>
                  <to>
                    <xdr:col>5</xdr:col>
                    <xdr:colOff>0</xdr:colOff>
                    <xdr:row>31</xdr:row>
                    <xdr:rowOff>47625</xdr:rowOff>
                  </to>
                </anchor>
              </controlPr>
            </control>
          </mc:Choice>
        </mc:AlternateContent>
        <mc:AlternateContent xmlns:mc="http://schemas.openxmlformats.org/markup-compatibility/2006">
          <mc:Choice Requires="x14">
            <control shapeId="98303" r:id="rId101" name="Check Box 3071">
              <controlPr defaultSize="0" autoFill="0" autoLine="0" autoPict="0">
                <anchor>
                  <from>
                    <xdr:col>0</xdr:col>
                    <xdr:colOff>0</xdr:colOff>
                    <xdr:row>31</xdr:row>
                    <xdr:rowOff>0</xdr:rowOff>
                  </from>
                  <to>
                    <xdr:col>5</xdr:col>
                    <xdr:colOff>0</xdr:colOff>
                    <xdr:row>32</xdr:row>
                    <xdr:rowOff>47625</xdr:rowOff>
                  </to>
                </anchor>
              </controlPr>
            </control>
          </mc:Choice>
        </mc:AlternateContent>
        <mc:AlternateContent xmlns:mc="http://schemas.openxmlformats.org/markup-compatibility/2006">
          <mc:Choice Requires="x14">
            <control shapeId="108544" r:id="rId102" name="Check Box 3072">
              <controlPr defaultSize="0" autoFill="0" autoLine="0" autoPict="0">
                <anchor>
                  <from>
                    <xdr:col>0</xdr:col>
                    <xdr:colOff>0</xdr:colOff>
                    <xdr:row>32</xdr:row>
                    <xdr:rowOff>0</xdr:rowOff>
                  </from>
                  <to>
                    <xdr:col>5</xdr:col>
                    <xdr:colOff>0</xdr:colOff>
                    <xdr:row>33</xdr:row>
                    <xdr:rowOff>47625</xdr:rowOff>
                  </to>
                </anchor>
              </controlPr>
            </control>
          </mc:Choice>
        </mc:AlternateContent>
        <mc:AlternateContent xmlns:mc="http://schemas.openxmlformats.org/markup-compatibility/2006">
          <mc:Choice Requires="x14">
            <control shapeId="108545" r:id="rId103" name="Check Box 3073">
              <controlPr defaultSize="0" autoFill="0" autoLine="0" autoPict="0">
                <anchor>
                  <from>
                    <xdr:col>0</xdr:col>
                    <xdr:colOff>0</xdr:colOff>
                    <xdr:row>33</xdr:row>
                    <xdr:rowOff>0</xdr:rowOff>
                  </from>
                  <to>
                    <xdr:col>5</xdr:col>
                    <xdr:colOff>0</xdr:colOff>
                    <xdr:row>34</xdr:row>
                    <xdr:rowOff>47625</xdr:rowOff>
                  </to>
                </anchor>
              </controlPr>
            </control>
          </mc:Choice>
        </mc:AlternateContent>
        <mc:AlternateContent xmlns:mc="http://schemas.openxmlformats.org/markup-compatibility/2006">
          <mc:Choice Requires="x14">
            <control shapeId="108546" r:id="rId104" name="Check Box 3074">
              <controlPr defaultSize="0" autoFill="0" autoLine="0" autoPict="0">
                <anchor>
                  <from>
                    <xdr:col>0</xdr:col>
                    <xdr:colOff>0</xdr:colOff>
                    <xdr:row>34</xdr:row>
                    <xdr:rowOff>0</xdr:rowOff>
                  </from>
                  <to>
                    <xdr:col>5</xdr:col>
                    <xdr:colOff>0</xdr:colOff>
                    <xdr:row>35</xdr:row>
                    <xdr:rowOff>47625</xdr:rowOff>
                  </to>
                </anchor>
              </controlPr>
            </control>
          </mc:Choice>
        </mc:AlternateContent>
        <mc:AlternateContent xmlns:mc="http://schemas.openxmlformats.org/markup-compatibility/2006">
          <mc:Choice Requires="x14">
            <control shapeId="108547" r:id="rId105" name="Check Box 3075">
              <controlPr defaultSize="0" autoFill="0" autoLine="0" autoPict="0">
                <anchor>
                  <from>
                    <xdr:col>0</xdr:col>
                    <xdr:colOff>0</xdr:colOff>
                    <xdr:row>35</xdr:row>
                    <xdr:rowOff>0</xdr:rowOff>
                  </from>
                  <to>
                    <xdr:col>5</xdr:col>
                    <xdr:colOff>0</xdr:colOff>
                    <xdr:row>36</xdr:row>
                    <xdr:rowOff>47625</xdr:rowOff>
                  </to>
                </anchor>
              </controlPr>
            </control>
          </mc:Choice>
        </mc:AlternateContent>
        <mc:AlternateContent xmlns:mc="http://schemas.openxmlformats.org/markup-compatibility/2006">
          <mc:Choice Requires="x14">
            <control shapeId="108548" r:id="rId106" name="Check Box 3076">
              <controlPr defaultSize="0" autoFill="0" autoLine="0" autoPict="0">
                <anchor>
                  <from>
                    <xdr:col>0</xdr:col>
                    <xdr:colOff>0</xdr:colOff>
                    <xdr:row>36</xdr:row>
                    <xdr:rowOff>0</xdr:rowOff>
                  </from>
                  <to>
                    <xdr:col>5</xdr:col>
                    <xdr:colOff>0</xdr:colOff>
                    <xdr:row>37</xdr:row>
                    <xdr:rowOff>47625</xdr:rowOff>
                  </to>
                </anchor>
              </controlPr>
            </control>
          </mc:Choice>
        </mc:AlternateContent>
        <mc:AlternateContent xmlns:mc="http://schemas.openxmlformats.org/markup-compatibility/2006">
          <mc:Choice Requires="x14">
            <control shapeId="108549" r:id="rId107" name="Check Box 3077">
              <controlPr defaultSize="0" autoFill="0" autoLine="0" autoPict="0">
                <anchor>
                  <from>
                    <xdr:col>0</xdr:col>
                    <xdr:colOff>0</xdr:colOff>
                    <xdr:row>37</xdr:row>
                    <xdr:rowOff>0</xdr:rowOff>
                  </from>
                  <to>
                    <xdr:col>5</xdr:col>
                    <xdr:colOff>0</xdr:colOff>
                    <xdr:row>38</xdr:row>
                    <xdr:rowOff>47625</xdr:rowOff>
                  </to>
                </anchor>
              </controlPr>
            </control>
          </mc:Choice>
        </mc:AlternateContent>
        <mc:AlternateContent xmlns:mc="http://schemas.openxmlformats.org/markup-compatibility/2006">
          <mc:Choice Requires="x14">
            <control shapeId="108550" r:id="rId108" name="Check Box 3078">
              <controlPr defaultSize="0" autoFill="0" autoLine="0" autoPict="0">
                <anchor>
                  <from>
                    <xdr:col>0</xdr:col>
                    <xdr:colOff>0</xdr:colOff>
                    <xdr:row>38</xdr:row>
                    <xdr:rowOff>0</xdr:rowOff>
                  </from>
                  <to>
                    <xdr:col>5</xdr:col>
                    <xdr:colOff>0</xdr:colOff>
                    <xdr:row>39</xdr:row>
                    <xdr:rowOff>47625</xdr:rowOff>
                  </to>
                </anchor>
              </controlPr>
            </control>
          </mc:Choice>
        </mc:AlternateContent>
        <mc:AlternateContent xmlns:mc="http://schemas.openxmlformats.org/markup-compatibility/2006">
          <mc:Choice Requires="x14">
            <control shapeId="108551" r:id="rId109" name="Check Box 3079">
              <controlPr defaultSize="0" autoFill="0" autoLine="0" autoPict="0">
                <anchor>
                  <from>
                    <xdr:col>0</xdr:col>
                    <xdr:colOff>0</xdr:colOff>
                    <xdr:row>39</xdr:row>
                    <xdr:rowOff>0</xdr:rowOff>
                  </from>
                  <to>
                    <xdr:col>5</xdr:col>
                    <xdr:colOff>0</xdr:colOff>
                    <xdr:row>40</xdr:row>
                    <xdr:rowOff>47625</xdr:rowOff>
                  </to>
                </anchor>
              </controlPr>
            </control>
          </mc:Choice>
        </mc:AlternateContent>
        <mc:AlternateContent xmlns:mc="http://schemas.openxmlformats.org/markup-compatibility/2006">
          <mc:Choice Requires="x14">
            <control shapeId="108552" r:id="rId110" name="Check Box 3080">
              <controlPr defaultSize="0" autoFill="0" autoLine="0" autoPict="0">
                <anchor>
                  <from>
                    <xdr:col>0</xdr:col>
                    <xdr:colOff>0</xdr:colOff>
                    <xdr:row>40</xdr:row>
                    <xdr:rowOff>0</xdr:rowOff>
                  </from>
                  <to>
                    <xdr:col>5</xdr:col>
                    <xdr:colOff>0</xdr:colOff>
                    <xdr:row>41</xdr:row>
                    <xdr:rowOff>47625</xdr:rowOff>
                  </to>
                </anchor>
              </controlPr>
            </control>
          </mc:Choice>
        </mc:AlternateContent>
        <mc:AlternateContent xmlns:mc="http://schemas.openxmlformats.org/markup-compatibility/2006">
          <mc:Choice Requires="x14">
            <control shapeId="108553" r:id="rId111" name="Check Box 3081">
              <controlPr defaultSize="0" autoFill="0" autoLine="0" autoPict="0">
                <anchor>
                  <from>
                    <xdr:col>0</xdr:col>
                    <xdr:colOff>0</xdr:colOff>
                    <xdr:row>41</xdr:row>
                    <xdr:rowOff>0</xdr:rowOff>
                  </from>
                  <to>
                    <xdr:col>5</xdr:col>
                    <xdr:colOff>0</xdr:colOff>
                    <xdr:row>42</xdr:row>
                    <xdr:rowOff>47625</xdr:rowOff>
                  </to>
                </anchor>
              </controlPr>
            </control>
          </mc:Choice>
        </mc:AlternateContent>
        <mc:AlternateContent xmlns:mc="http://schemas.openxmlformats.org/markup-compatibility/2006">
          <mc:Choice Requires="x14">
            <control shapeId="108554" r:id="rId112" name="Check Box 3082">
              <controlPr defaultSize="0" autoFill="0" autoLine="0" autoPict="0">
                <anchor>
                  <from>
                    <xdr:col>0</xdr:col>
                    <xdr:colOff>0</xdr:colOff>
                    <xdr:row>42</xdr:row>
                    <xdr:rowOff>0</xdr:rowOff>
                  </from>
                  <to>
                    <xdr:col>5</xdr:col>
                    <xdr:colOff>0</xdr:colOff>
                    <xdr:row>43</xdr:row>
                    <xdr:rowOff>47625</xdr:rowOff>
                  </to>
                </anchor>
              </controlPr>
            </control>
          </mc:Choice>
        </mc:AlternateContent>
        <mc:AlternateContent xmlns:mc="http://schemas.openxmlformats.org/markup-compatibility/2006">
          <mc:Choice Requires="x14">
            <control shapeId="108555" r:id="rId113" name="Check Box 3083">
              <controlPr defaultSize="0" autoFill="0" autoLine="0" autoPict="0">
                <anchor>
                  <from>
                    <xdr:col>0</xdr:col>
                    <xdr:colOff>0</xdr:colOff>
                    <xdr:row>43</xdr:row>
                    <xdr:rowOff>0</xdr:rowOff>
                  </from>
                  <to>
                    <xdr:col>5</xdr:col>
                    <xdr:colOff>0</xdr:colOff>
                    <xdr:row>44</xdr:row>
                    <xdr:rowOff>47625</xdr:rowOff>
                  </to>
                </anchor>
              </controlPr>
            </control>
          </mc:Choice>
        </mc:AlternateContent>
        <mc:AlternateContent xmlns:mc="http://schemas.openxmlformats.org/markup-compatibility/2006">
          <mc:Choice Requires="x14">
            <control shapeId="108556" r:id="rId114" name="Check Box 3084">
              <controlPr defaultSize="0" autoFill="0" autoLine="0" autoPict="0">
                <anchor>
                  <from>
                    <xdr:col>0</xdr:col>
                    <xdr:colOff>0</xdr:colOff>
                    <xdr:row>44</xdr:row>
                    <xdr:rowOff>0</xdr:rowOff>
                  </from>
                  <to>
                    <xdr:col>5</xdr:col>
                    <xdr:colOff>0</xdr:colOff>
                    <xdr:row>45</xdr:row>
                    <xdr:rowOff>47625</xdr:rowOff>
                  </to>
                </anchor>
              </controlPr>
            </control>
          </mc:Choice>
        </mc:AlternateContent>
        <mc:AlternateContent xmlns:mc="http://schemas.openxmlformats.org/markup-compatibility/2006">
          <mc:Choice Requires="x14">
            <control shapeId="108557" r:id="rId115" name="Check Box 3085">
              <controlPr defaultSize="0" autoFill="0" autoLine="0" autoPict="0">
                <anchor>
                  <from>
                    <xdr:col>0</xdr:col>
                    <xdr:colOff>0</xdr:colOff>
                    <xdr:row>45</xdr:row>
                    <xdr:rowOff>0</xdr:rowOff>
                  </from>
                  <to>
                    <xdr:col>5</xdr:col>
                    <xdr:colOff>0</xdr:colOff>
                    <xdr:row>46</xdr:row>
                    <xdr:rowOff>47625</xdr:rowOff>
                  </to>
                </anchor>
              </controlPr>
            </control>
          </mc:Choice>
        </mc:AlternateContent>
        <mc:AlternateContent xmlns:mc="http://schemas.openxmlformats.org/markup-compatibility/2006">
          <mc:Choice Requires="x14">
            <control shapeId="108558" r:id="rId116" name="Check Box 3086">
              <controlPr defaultSize="0" autoFill="0" autoLine="0" autoPict="0">
                <anchor>
                  <from>
                    <xdr:col>0</xdr:col>
                    <xdr:colOff>0</xdr:colOff>
                    <xdr:row>46</xdr:row>
                    <xdr:rowOff>0</xdr:rowOff>
                  </from>
                  <to>
                    <xdr:col>5</xdr:col>
                    <xdr:colOff>0</xdr:colOff>
                    <xdr:row>47</xdr:row>
                    <xdr:rowOff>47625</xdr:rowOff>
                  </to>
                </anchor>
              </controlPr>
            </control>
          </mc:Choice>
        </mc:AlternateContent>
        <mc:AlternateContent xmlns:mc="http://schemas.openxmlformats.org/markup-compatibility/2006">
          <mc:Choice Requires="x14">
            <control shapeId="108559" r:id="rId117" name="Check Box 3087">
              <controlPr defaultSize="0" autoFill="0" autoLine="0" autoPict="0">
                <anchor>
                  <from>
                    <xdr:col>0</xdr:col>
                    <xdr:colOff>0</xdr:colOff>
                    <xdr:row>47</xdr:row>
                    <xdr:rowOff>0</xdr:rowOff>
                  </from>
                  <to>
                    <xdr:col>5</xdr:col>
                    <xdr:colOff>0</xdr:colOff>
                    <xdr:row>48</xdr:row>
                    <xdr:rowOff>47625</xdr:rowOff>
                  </to>
                </anchor>
              </controlPr>
            </control>
          </mc:Choice>
        </mc:AlternateContent>
        <mc:AlternateContent xmlns:mc="http://schemas.openxmlformats.org/markup-compatibility/2006">
          <mc:Choice Requires="x14">
            <control shapeId="108560" r:id="rId118" name="Check Box 3088">
              <controlPr defaultSize="0" autoFill="0" autoLine="0" autoPict="0">
                <anchor>
                  <from>
                    <xdr:col>0</xdr:col>
                    <xdr:colOff>0</xdr:colOff>
                    <xdr:row>48</xdr:row>
                    <xdr:rowOff>0</xdr:rowOff>
                  </from>
                  <to>
                    <xdr:col>5</xdr:col>
                    <xdr:colOff>0</xdr:colOff>
                    <xdr:row>49</xdr:row>
                    <xdr:rowOff>47625</xdr:rowOff>
                  </to>
                </anchor>
              </controlPr>
            </control>
          </mc:Choice>
        </mc:AlternateContent>
        <mc:AlternateContent xmlns:mc="http://schemas.openxmlformats.org/markup-compatibility/2006">
          <mc:Choice Requires="x14">
            <control shapeId="108561" r:id="rId119" name="Check Box 3089">
              <controlPr defaultSize="0" autoFill="0" autoLine="0" autoPict="0">
                <anchor>
                  <from>
                    <xdr:col>0</xdr:col>
                    <xdr:colOff>0</xdr:colOff>
                    <xdr:row>49</xdr:row>
                    <xdr:rowOff>0</xdr:rowOff>
                  </from>
                  <to>
                    <xdr:col>5</xdr:col>
                    <xdr:colOff>0</xdr:colOff>
                    <xdr:row>50</xdr:row>
                    <xdr:rowOff>47625</xdr:rowOff>
                  </to>
                </anchor>
              </controlPr>
            </control>
          </mc:Choice>
        </mc:AlternateContent>
        <mc:AlternateContent xmlns:mc="http://schemas.openxmlformats.org/markup-compatibility/2006">
          <mc:Choice Requires="x14">
            <control shapeId="108562" r:id="rId120" name="Check Box 3090">
              <controlPr defaultSize="0" autoFill="0" autoLine="0" autoPict="0">
                <anchor>
                  <from>
                    <xdr:col>0</xdr:col>
                    <xdr:colOff>0</xdr:colOff>
                    <xdr:row>50</xdr:row>
                    <xdr:rowOff>0</xdr:rowOff>
                  </from>
                  <to>
                    <xdr:col>5</xdr:col>
                    <xdr:colOff>0</xdr:colOff>
                    <xdr:row>51</xdr:row>
                    <xdr:rowOff>47625</xdr:rowOff>
                  </to>
                </anchor>
              </controlPr>
            </control>
          </mc:Choice>
        </mc:AlternateContent>
        <mc:AlternateContent xmlns:mc="http://schemas.openxmlformats.org/markup-compatibility/2006">
          <mc:Choice Requires="x14">
            <control shapeId="108563" r:id="rId121" name="Check Box 3091">
              <controlPr defaultSize="0" autoFill="0" autoLine="0" autoPict="0">
                <anchor>
                  <from>
                    <xdr:col>0</xdr:col>
                    <xdr:colOff>0</xdr:colOff>
                    <xdr:row>51</xdr:row>
                    <xdr:rowOff>0</xdr:rowOff>
                  </from>
                  <to>
                    <xdr:col>5</xdr:col>
                    <xdr:colOff>0</xdr:colOff>
                    <xdr:row>52</xdr:row>
                    <xdr:rowOff>47625</xdr:rowOff>
                  </to>
                </anchor>
              </controlPr>
            </control>
          </mc:Choice>
        </mc:AlternateContent>
        <mc:AlternateContent xmlns:mc="http://schemas.openxmlformats.org/markup-compatibility/2006">
          <mc:Choice Requires="x14">
            <control shapeId="108564" r:id="rId122" name="Check Box 3092">
              <controlPr defaultSize="0" autoFill="0" autoLine="0" autoPict="0">
                <anchor>
                  <from>
                    <xdr:col>0</xdr:col>
                    <xdr:colOff>0</xdr:colOff>
                    <xdr:row>52</xdr:row>
                    <xdr:rowOff>0</xdr:rowOff>
                  </from>
                  <to>
                    <xdr:col>5</xdr:col>
                    <xdr:colOff>0</xdr:colOff>
                    <xdr:row>53</xdr:row>
                    <xdr:rowOff>47625</xdr:rowOff>
                  </to>
                </anchor>
              </controlPr>
            </control>
          </mc:Choice>
        </mc:AlternateContent>
        <mc:AlternateContent xmlns:mc="http://schemas.openxmlformats.org/markup-compatibility/2006">
          <mc:Choice Requires="x14">
            <control shapeId="108565" r:id="rId123" name="Check Box 3093">
              <controlPr defaultSize="0" autoFill="0" autoLine="0" autoPict="0">
                <anchor>
                  <from>
                    <xdr:col>0</xdr:col>
                    <xdr:colOff>0</xdr:colOff>
                    <xdr:row>53</xdr:row>
                    <xdr:rowOff>0</xdr:rowOff>
                  </from>
                  <to>
                    <xdr:col>5</xdr:col>
                    <xdr:colOff>0</xdr:colOff>
                    <xdr:row>54</xdr:row>
                    <xdr:rowOff>47625</xdr:rowOff>
                  </to>
                </anchor>
              </controlPr>
            </control>
          </mc:Choice>
        </mc:AlternateContent>
        <mc:AlternateContent xmlns:mc="http://schemas.openxmlformats.org/markup-compatibility/2006">
          <mc:Choice Requires="x14">
            <control shapeId="108566" r:id="rId124" name="Check Box 3094">
              <controlPr defaultSize="0" autoFill="0" autoLine="0" autoPict="0">
                <anchor>
                  <from>
                    <xdr:col>0</xdr:col>
                    <xdr:colOff>0</xdr:colOff>
                    <xdr:row>54</xdr:row>
                    <xdr:rowOff>0</xdr:rowOff>
                  </from>
                  <to>
                    <xdr:col>5</xdr:col>
                    <xdr:colOff>0</xdr:colOff>
                    <xdr:row>55</xdr:row>
                    <xdr:rowOff>47625</xdr:rowOff>
                  </to>
                </anchor>
              </controlPr>
            </control>
          </mc:Choice>
        </mc:AlternateContent>
        <mc:AlternateContent xmlns:mc="http://schemas.openxmlformats.org/markup-compatibility/2006">
          <mc:Choice Requires="x14">
            <control shapeId="108567" r:id="rId125" name="Check Box 3095">
              <controlPr defaultSize="0" autoFill="0" autoLine="0" autoPict="0">
                <anchor>
                  <from>
                    <xdr:col>0</xdr:col>
                    <xdr:colOff>0</xdr:colOff>
                    <xdr:row>55</xdr:row>
                    <xdr:rowOff>0</xdr:rowOff>
                  </from>
                  <to>
                    <xdr:col>5</xdr:col>
                    <xdr:colOff>0</xdr:colOff>
                    <xdr:row>56</xdr:row>
                    <xdr:rowOff>47625</xdr:rowOff>
                  </to>
                </anchor>
              </controlPr>
            </control>
          </mc:Choice>
        </mc:AlternateContent>
        <mc:AlternateContent xmlns:mc="http://schemas.openxmlformats.org/markup-compatibility/2006">
          <mc:Choice Requires="x14">
            <control shapeId="108568" r:id="rId126" name="Check Box 3096">
              <controlPr defaultSize="0" autoFill="0" autoLine="0" autoPict="0">
                <anchor>
                  <from>
                    <xdr:col>0</xdr:col>
                    <xdr:colOff>0</xdr:colOff>
                    <xdr:row>56</xdr:row>
                    <xdr:rowOff>0</xdr:rowOff>
                  </from>
                  <to>
                    <xdr:col>5</xdr:col>
                    <xdr:colOff>0</xdr:colOff>
                    <xdr:row>57</xdr:row>
                    <xdr:rowOff>47625</xdr:rowOff>
                  </to>
                </anchor>
              </controlPr>
            </control>
          </mc:Choice>
        </mc:AlternateContent>
        <mc:AlternateContent xmlns:mc="http://schemas.openxmlformats.org/markup-compatibility/2006">
          <mc:Choice Requires="x14">
            <control shapeId="108569" r:id="rId127" name="Check Box 3097">
              <controlPr defaultSize="0" autoFill="0" autoLine="0" autoPict="0">
                <anchor>
                  <from>
                    <xdr:col>0</xdr:col>
                    <xdr:colOff>0</xdr:colOff>
                    <xdr:row>57</xdr:row>
                    <xdr:rowOff>0</xdr:rowOff>
                  </from>
                  <to>
                    <xdr:col>5</xdr:col>
                    <xdr:colOff>0</xdr:colOff>
                    <xdr:row>58</xdr:row>
                    <xdr:rowOff>47625</xdr:rowOff>
                  </to>
                </anchor>
              </controlPr>
            </control>
          </mc:Choice>
        </mc:AlternateContent>
        <mc:AlternateContent xmlns:mc="http://schemas.openxmlformats.org/markup-compatibility/2006">
          <mc:Choice Requires="x14">
            <control shapeId="108570" r:id="rId128" name="Check Box 3098">
              <controlPr defaultSize="0" autoFill="0" autoLine="0" autoPict="0">
                <anchor>
                  <from>
                    <xdr:col>0</xdr:col>
                    <xdr:colOff>0</xdr:colOff>
                    <xdr:row>58</xdr:row>
                    <xdr:rowOff>0</xdr:rowOff>
                  </from>
                  <to>
                    <xdr:col>5</xdr:col>
                    <xdr:colOff>0</xdr:colOff>
                    <xdr:row>59</xdr:row>
                    <xdr:rowOff>47625</xdr:rowOff>
                  </to>
                </anchor>
              </controlPr>
            </control>
          </mc:Choice>
        </mc:AlternateContent>
        <mc:AlternateContent xmlns:mc="http://schemas.openxmlformats.org/markup-compatibility/2006">
          <mc:Choice Requires="x14">
            <control shapeId="108571" r:id="rId129" name="Check Box 3099">
              <controlPr defaultSize="0" autoFill="0" autoLine="0" autoPict="0">
                <anchor>
                  <from>
                    <xdr:col>0</xdr:col>
                    <xdr:colOff>0</xdr:colOff>
                    <xdr:row>59</xdr:row>
                    <xdr:rowOff>0</xdr:rowOff>
                  </from>
                  <to>
                    <xdr:col>5</xdr:col>
                    <xdr:colOff>0</xdr:colOff>
                    <xdr:row>60</xdr:row>
                    <xdr:rowOff>47625</xdr:rowOff>
                  </to>
                </anchor>
              </controlPr>
            </control>
          </mc:Choice>
        </mc:AlternateContent>
        <mc:AlternateContent xmlns:mc="http://schemas.openxmlformats.org/markup-compatibility/2006">
          <mc:Choice Requires="x14">
            <control shapeId="108572" r:id="rId130" name="Check Box 3100">
              <controlPr defaultSize="0" autoFill="0" autoLine="0" autoPict="0">
                <anchor>
                  <from>
                    <xdr:col>0</xdr:col>
                    <xdr:colOff>0</xdr:colOff>
                    <xdr:row>60</xdr:row>
                    <xdr:rowOff>0</xdr:rowOff>
                  </from>
                  <to>
                    <xdr:col>5</xdr:col>
                    <xdr:colOff>0</xdr:colOff>
                    <xdr:row>61</xdr:row>
                    <xdr:rowOff>47625</xdr:rowOff>
                  </to>
                </anchor>
              </controlPr>
            </control>
          </mc:Choice>
        </mc:AlternateContent>
        <mc:AlternateContent xmlns:mc="http://schemas.openxmlformats.org/markup-compatibility/2006">
          <mc:Choice Requires="x14">
            <control shapeId="108573" r:id="rId131" name="Check Box 3101">
              <controlPr defaultSize="0" autoFill="0" autoLine="0" autoPict="0">
                <anchor>
                  <from>
                    <xdr:col>0</xdr:col>
                    <xdr:colOff>0</xdr:colOff>
                    <xdr:row>61</xdr:row>
                    <xdr:rowOff>0</xdr:rowOff>
                  </from>
                  <to>
                    <xdr:col>5</xdr:col>
                    <xdr:colOff>0</xdr:colOff>
                    <xdr:row>62</xdr:row>
                    <xdr:rowOff>47625</xdr:rowOff>
                  </to>
                </anchor>
              </controlPr>
            </control>
          </mc:Choice>
        </mc:AlternateContent>
        <mc:AlternateContent xmlns:mc="http://schemas.openxmlformats.org/markup-compatibility/2006">
          <mc:Choice Requires="x14">
            <control shapeId="108574" r:id="rId132" name="Check Box 3102">
              <controlPr defaultSize="0" autoFill="0" autoLine="0" autoPict="0">
                <anchor>
                  <from>
                    <xdr:col>0</xdr:col>
                    <xdr:colOff>0</xdr:colOff>
                    <xdr:row>62</xdr:row>
                    <xdr:rowOff>0</xdr:rowOff>
                  </from>
                  <to>
                    <xdr:col>5</xdr:col>
                    <xdr:colOff>0</xdr:colOff>
                    <xdr:row>63</xdr:row>
                    <xdr:rowOff>47625</xdr:rowOff>
                  </to>
                </anchor>
              </controlPr>
            </control>
          </mc:Choice>
        </mc:AlternateContent>
        <mc:AlternateContent xmlns:mc="http://schemas.openxmlformats.org/markup-compatibility/2006">
          <mc:Choice Requires="x14">
            <control shapeId="108575" r:id="rId133" name="Check Box 3103">
              <controlPr defaultSize="0" autoFill="0" autoLine="0" autoPict="0">
                <anchor>
                  <from>
                    <xdr:col>0</xdr:col>
                    <xdr:colOff>0</xdr:colOff>
                    <xdr:row>63</xdr:row>
                    <xdr:rowOff>0</xdr:rowOff>
                  </from>
                  <to>
                    <xdr:col>5</xdr:col>
                    <xdr:colOff>0</xdr:colOff>
                    <xdr:row>64</xdr:row>
                    <xdr:rowOff>47625</xdr:rowOff>
                  </to>
                </anchor>
              </controlPr>
            </control>
          </mc:Choice>
        </mc:AlternateContent>
        <mc:AlternateContent xmlns:mc="http://schemas.openxmlformats.org/markup-compatibility/2006">
          <mc:Choice Requires="x14">
            <control shapeId="108576" r:id="rId134" name="Check Box 3104">
              <controlPr defaultSize="0" autoFill="0" autoLine="0" autoPict="0">
                <anchor>
                  <from>
                    <xdr:col>0</xdr:col>
                    <xdr:colOff>0</xdr:colOff>
                    <xdr:row>64</xdr:row>
                    <xdr:rowOff>0</xdr:rowOff>
                  </from>
                  <to>
                    <xdr:col>5</xdr:col>
                    <xdr:colOff>0</xdr:colOff>
                    <xdr:row>65</xdr:row>
                    <xdr:rowOff>47625</xdr:rowOff>
                  </to>
                </anchor>
              </controlPr>
            </control>
          </mc:Choice>
        </mc:AlternateContent>
        <mc:AlternateContent xmlns:mc="http://schemas.openxmlformats.org/markup-compatibility/2006">
          <mc:Choice Requires="x14">
            <control shapeId="108577" r:id="rId135" name="Check Box 3105">
              <controlPr defaultSize="0" autoFill="0" autoLine="0" autoPict="0">
                <anchor>
                  <from>
                    <xdr:col>0</xdr:col>
                    <xdr:colOff>0</xdr:colOff>
                    <xdr:row>65</xdr:row>
                    <xdr:rowOff>0</xdr:rowOff>
                  </from>
                  <to>
                    <xdr:col>5</xdr:col>
                    <xdr:colOff>0</xdr:colOff>
                    <xdr:row>66</xdr:row>
                    <xdr:rowOff>47625</xdr:rowOff>
                  </to>
                </anchor>
              </controlPr>
            </control>
          </mc:Choice>
        </mc:AlternateContent>
        <mc:AlternateContent xmlns:mc="http://schemas.openxmlformats.org/markup-compatibility/2006">
          <mc:Choice Requires="x14">
            <control shapeId="108578" r:id="rId136" name="Check Box 3106">
              <controlPr defaultSize="0" autoFill="0" autoLine="0" autoPict="0">
                <anchor>
                  <from>
                    <xdr:col>0</xdr:col>
                    <xdr:colOff>0</xdr:colOff>
                    <xdr:row>66</xdr:row>
                    <xdr:rowOff>0</xdr:rowOff>
                  </from>
                  <to>
                    <xdr:col>5</xdr:col>
                    <xdr:colOff>0</xdr:colOff>
                    <xdr:row>67</xdr:row>
                    <xdr:rowOff>47625</xdr:rowOff>
                  </to>
                </anchor>
              </controlPr>
            </control>
          </mc:Choice>
        </mc:AlternateContent>
        <mc:AlternateContent xmlns:mc="http://schemas.openxmlformats.org/markup-compatibility/2006">
          <mc:Choice Requires="x14">
            <control shapeId="108579" r:id="rId137" name="Check Box 3107">
              <controlPr defaultSize="0" autoFill="0" autoLine="0" autoPict="0">
                <anchor>
                  <from>
                    <xdr:col>0</xdr:col>
                    <xdr:colOff>0</xdr:colOff>
                    <xdr:row>67</xdr:row>
                    <xdr:rowOff>0</xdr:rowOff>
                  </from>
                  <to>
                    <xdr:col>5</xdr:col>
                    <xdr:colOff>0</xdr:colOff>
                    <xdr:row>68</xdr:row>
                    <xdr:rowOff>47625</xdr:rowOff>
                  </to>
                </anchor>
              </controlPr>
            </control>
          </mc:Choice>
        </mc:AlternateContent>
        <mc:AlternateContent xmlns:mc="http://schemas.openxmlformats.org/markup-compatibility/2006">
          <mc:Choice Requires="x14">
            <control shapeId="108580" r:id="rId138" name="Check Box 3108">
              <controlPr defaultSize="0" autoFill="0" autoLine="0" autoPict="0">
                <anchor>
                  <from>
                    <xdr:col>0</xdr:col>
                    <xdr:colOff>0</xdr:colOff>
                    <xdr:row>68</xdr:row>
                    <xdr:rowOff>0</xdr:rowOff>
                  </from>
                  <to>
                    <xdr:col>5</xdr:col>
                    <xdr:colOff>0</xdr:colOff>
                    <xdr:row>69</xdr:row>
                    <xdr:rowOff>47625</xdr:rowOff>
                  </to>
                </anchor>
              </controlPr>
            </control>
          </mc:Choice>
        </mc:AlternateContent>
        <mc:AlternateContent xmlns:mc="http://schemas.openxmlformats.org/markup-compatibility/2006">
          <mc:Choice Requires="x14">
            <control shapeId="108581" r:id="rId139" name="Check Box 3109">
              <controlPr defaultSize="0" autoFill="0" autoLine="0" autoPict="0">
                <anchor>
                  <from>
                    <xdr:col>0</xdr:col>
                    <xdr:colOff>0</xdr:colOff>
                    <xdr:row>69</xdr:row>
                    <xdr:rowOff>0</xdr:rowOff>
                  </from>
                  <to>
                    <xdr:col>5</xdr:col>
                    <xdr:colOff>0</xdr:colOff>
                    <xdr:row>70</xdr:row>
                    <xdr:rowOff>47625</xdr:rowOff>
                  </to>
                </anchor>
              </controlPr>
            </control>
          </mc:Choice>
        </mc:AlternateContent>
        <mc:AlternateContent xmlns:mc="http://schemas.openxmlformats.org/markup-compatibility/2006">
          <mc:Choice Requires="x14">
            <control shapeId="108582" r:id="rId140" name="Check Box 3110">
              <controlPr defaultSize="0" autoFill="0" autoLine="0" autoPict="0">
                <anchor>
                  <from>
                    <xdr:col>0</xdr:col>
                    <xdr:colOff>0</xdr:colOff>
                    <xdr:row>70</xdr:row>
                    <xdr:rowOff>0</xdr:rowOff>
                  </from>
                  <to>
                    <xdr:col>5</xdr:col>
                    <xdr:colOff>0</xdr:colOff>
                    <xdr:row>71</xdr:row>
                    <xdr:rowOff>47625</xdr:rowOff>
                  </to>
                </anchor>
              </controlPr>
            </control>
          </mc:Choice>
        </mc:AlternateContent>
        <mc:AlternateContent xmlns:mc="http://schemas.openxmlformats.org/markup-compatibility/2006">
          <mc:Choice Requires="x14">
            <control shapeId="108583" r:id="rId141" name="Check Box 3111">
              <controlPr defaultSize="0" autoFill="0" autoLine="0" autoPict="0">
                <anchor>
                  <from>
                    <xdr:col>0</xdr:col>
                    <xdr:colOff>0</xdr:colOff>
                    <xdr:row>71</xdr:row>
                    <xdr:rowOff>0</xdr:rowOff>
                  </from>
                  <to>
                    <xdr:col>5</xdr:col>
                    <xdr:colOff>0</xdr:colOff>
                    <xdr:row>72</xdr:row>
                    <xdr:rowOff>47625</xdr:rowOff>
                  </to>
                </anchor>
              </controlPr>
            </control>
          </mc:Choice>
        </mc:AlternateContent>
        <mc:AlternateContent xmlns:mc="http://schemas.openxmlformats.org/markup-compatibility/2006">
          <mc:Choice Requires="x14">
            <control shapeId="108584" r:id="rId142" name="Check Box 3112">
              <controlPr defaultSize="0" autoFill="0" autoLine="0" autoPict="0">
                <anchor>
                  <from>
                    <xdr:col>0</xdr:col>
                    <xdr:colOff>0</xdr:colOff>
                    <xdr:row>72</xdr:row>
                    <xdr:rowOff>0</xdr:rowOff>
                  </from>
                  <to>
                    <xdr:col>5</xdr:col>
                    <xdr:colOff>0</xdr:colOff>
                    <xdr:row>73</xdr:row>
                    <xdr:rowOff>47625</xdr:rowOff>
                  </to>
                </anchor>
              </controlPr>
            </control>
          </mc:Choice>
        </mc:AlternateContent>
        <mc:AlternateContent xmlns:mc="http://schemas.openxmlformats.org/markup-compatibility/2006">
          <mc:Choice Requires="x14">
            <control shapeId="108585" r:id="rId143" name="Check Box 3113">
              <controlPr defaultSize="0" autoFill="0" autoLine="0" autoPict="0">
                <anchor>
                  <from>
                    <xdr:col>0</xdr:col>
                    <xdr:colOff>0</xdr:colOff>
                    <xdr:row>73</xdr:row>
                    <xdr:rowOff>0</xdr:rowOff>
                  </from>
                  <to>
                    <xdr:col>5</xdr:col>
                    <xdr:colOff>0</xdr:colOff>
                    <xdr:row>74</xdr:row>
                    <xdr:rowOff>47625</xdr:rowOff>
                  </to>
                </anchor>
              </controlPr>
            </control>
          </mc:Choice>
        </mc:AlternateContent>
        <mc:AlternateContent xmlns:mc="http://schemas.openxmlformats.org/markup-compatibility/2006">
          <mc:Choice Requires="x14">
            <control shapeId="108586" r:id="rId144" name="Check Box 3114">
              <controlPr defaultSize="0" autoFill="0" autoLine="0" autoPict="0">
                <anchor>
                  <from>
                    <xdr:col>0</xdr:col>
                    <xdr:colOff>0</xdr:colOff>
                    <xdr:row>74</xdr:row>
                    <xdr:rowOff>0</xdr:rowOff>
                  </from>
                  <to>
                    <xdr:col>5</xdr:col>
                    <xdr:colOff>0</xdr:colOff>
                    <xdr:row>75</xdr:row>
                    <xdr:rowOff>47625</xdr:rowOff>
                  </to>
                </anchor>
              </controlPr>
            </control>
          </mc:Choice>
        </mc:AlternateContent>
        <mc:AlternateContent xmlns:mc="http://schemas.openxmlformats.org/markup-compatibility/2006">
          <mc:Choice Requires="x14">
            <control shapeId="108587" r:id="rId145" name="Check Box 3115">
              <controlPr defaultSize="0" autoFill="0" autoLine="0" autoPict="0">
                <anchor>
                  <from>
                    <xdr:col>0</xdr:col>
                    <xdr:colOff>0</xdr:colOff>
                    <xdr:row>75</xdr:row>
                    <xdr:rowOff>0</xdr:rowOff>
                  </from>
                  <to>
                    <xdr:col>5</xdr:col>
                    <xdr:colOff>0</xdr:colOff>
                    <xdr:row>76</xdr:row>
                    <xdr:rowOff>47625</xdr:rowOff>
                  </to>
                </anchor>
              </controlPr>
            </control>
          </mc:Choice>
        </mc:AlternateContent>
        <mc:AlternateContent xmlns:mc="http://schemas.openxmlformats.org/markup-compatibility/2006">
          <mc:Choice Requires="x14">
            <control shapeId="108588" r:id="rId146" name="Check Box 3116">
              <controlPr defaultSize="0" autoFill="0" autoLine="0" autoPict="0">
                <anchor>
                  <from>
                    <xdr:col>0</xdr:col>
                    <xdr:colOff>0</xdr:colOff>
                    <xdr:row>76</xdr:row>
                    <xdr:rowOff>0</xdr:rowOff>
                  </from>
                  <to>
                    <xdr:col>5</xdr:col>
                    <xdr:colOff>0</xdr:colOff>
                    <xdr:row>77</xdr:row>
                    <xdr:rowOff>47625</xdr:rowOff>
                  </to>
                </anchor>
              </controlPr>
            </control>
          </mc:Choice>
        </mc:AlternateContent>
        <mc:AlternateContent xmlns:mc="http://schemas.openxmlformats.org/markup-compatibility/2006">
          <mc:Choice Requires="x14">
            <control shapeId="108589" r:id="rId147" name="Check Box 3117">
              <controlPr defaultSize="0" autoFill="0" autoLine="0" autoPict="0">
                <anchor>
                  <from>
                    <xdr:col>0</xdr:col>
                    <xdr:colOff>0</xdr:colOff>
                    <xdr:row>77</xdr:row>
                    <xdr:rowOff>0</xdr:rowOff>
                  </from>
                  <to>
                    <xdr:col>5</xdr:col>
                    <xdr:colOff>0</xdr:colOff>
                    <xdr:row>78</xdr:row>
                    <xdr:rowOff>47625</xdr:rowOff>
                  </to>
                </anchor>
              </controlPr>
            </control>
          </mc:Choice>
        </mc:AlternateContent>
        <mc:AlternateContent xmlns:mc="http://schemas.openxmlformats.org/markup-compatibility/2006">
          <mc:Choice Requires="x14">
            <control shapeId="108590" r:id="rId148" name="Check Box 3118">
              <controlPr defaultSize="0" autoFill="0" autoLine="0" autoPict="0">
                <anchor>
                  <from>
                    <xdr:col>0</xdr:col>
                    <xdr:colOff>0</xdr:colOff>
                    <xdr:row>78</xdr:row>
                    <xdr:rowOff>0</xdr:rowOff>
                  </from>
                  <to>
                    <xdr:col>5</xdr:col>
                    <xdr:colOff>0</xdr:colOff>
                    <xdr:row>79</xdr:row>
                    <xdr:rowOff>47625</xdr:rowOff>
                  </to>
                </anchor>
              </controlPr>
            </control>
          </mc:Choice>
        </mc:AlternateContent>
        <mc:AlternateContent xmlns:mc="http://schemas.openxmlformats.org/markup-compatibility/2006">
          <mc:Choice Requires="x14">
            <control shapeId="108591" r:id="rId149" name="Check Box 3119">
              <controlPr defaultSize="0" autoFill="0" autoLine="0" autoPict="0">
                <anchor>
                  <from>
                    <xdr:col>0</xdr:col>
                    <xdr:colOff>0</xdr:colOff>
                    <xdr:row>79</xdr:row>
                    <xdr:rowOff>0</xdr:rowOff>
                  </from>
                  <to>
                    <xdr:col>5</xdr:col>
                    <xdr:colOff>0</xdr:colOff>
                    <xdr:row>80</xdr:row>
                    <xdr:rowOff>47625</xdr:rowOff>
                  </to>
                </anchor>
              </controlPr>
            </control>
          </mc:Choice>
        </mc:AlternateContent>
        <mc:AlternateContent xmlns:mc="http://schemas.openxmlformats.org/markup-compatibility/2006">
          <mc:Choice Requires="x14">
            <control shapeId="108592" r:id="rId150" name="Check Box 3120">
              <controlPr defaultSize="0" autoFill="0" autoLine="0" autoPict="0">
                <anchor>
                  <from>
                    <xdr:col>0</xdr:col>
                    <xdr:colOff>0</xdr:colOff>
                    <xdr:row>80</xdr:row>
                    <xdr:rowOff>0</xdr:rowOff>
                  </from>
                  <to>
                    <xdr:col>5</xdr:col>
                    <xdr:colOff>0</xdr:colOff>
                    <xdr:row>81</xdr:row>
                    <xdr:rowOff>47625</xdr:rowOff>
                  </to>
                </anchor>
              </controlPr>
            </control>
          </mc:Choice>
        </mc:AlternateContent>
        <mc:AlternateContent xmlns:mc="http://schemas.openxmlformats.org/markup-compatibility/2006">
          <mc:Choice Requires="x14">
            <control shapeId="108593" r:id="rId151" name="Check Box 3121">
              <controlPr defaultSize="0" autoFill="0" autoLine="0" autoPict="0">
                <anchor>
                  <from>
                    <xdr:col>0</xdr:col>
                    <xdr:colOff>0</xdr:colOff>
                    <xdr:row>81</xdr:row>
                    <xdr:rowOff>0</xdr:rowOff>
                  </from>
                  <to>
                    <xdr:col>5</xdr:col>
                    <xdr:colOff>0</xdr:colOff>
                    <xdr:row>82</xdr:row>
                    <xdr:rowOff>47625</xdr:rowOff>
                  </to>
                </anchor>
              </controlPr>
            </control>
          </mc:Choice>
        </mc:AlternateContent>
        <mc:AlternateContent xmlns:mc="http://schemas.openxmlformats.org/markup-compatibility/2006">
          <mc:Choice Requires="x14">
            <control shapeId="108594" r:id="rId152" name="Check Box 3122">
              <controlPr defaultSize="0" autoFill="0" autoLine="0" autoPict="0">
                <anchor>
                  <from>
                    <xdr:col>0</xdr:col>
                    <xdr:colOff>0</xdr:colOff>
                    <xdr:row>82</xdr:row>
                    <xdr:rowOff>0</xdr:rowOff>
                  </from>
                  <to>
                    <xdr:col>5</xdr:col>
                    <xdr:colOff>0</xdr:colOff>
                    <xdr:row>83</xdr:row>
                    <xdr:rowOff>47625</xdr:rowOff>
                  </to>
                </anchor>
              </controlPr>
            </control>
          </mc:Choice>
        </mc:AlternateContent>
        <mc:AlternateContent xmlns:mc="http://schemas.openxmlformats.org/markup-compatibility/2006">
          <mc:Choice Requires="x14">
            <control shapeId="108595" r:id="rId153" name="Check Box 3123">
              <controlPr defaultSize="0" autoFill="0" autoLine="0" autoPict="0">
                <anchor>
                  <from>
                    <xdr:col>0</xdr:col>
                    <xdr:colOff>0</xdr:colOff>
                    <xdr:row>83</xdr:row>
                    <xdr:rowOff>0</xdr:rowOff>
                  </from>
                  <to>
                    <xdr:col>5</xdr:col>
                    <xdr:colOff>0</xdr:colOff>
                    <xdr:row>84</xdr:row>
                    <xdr:rowOff>47625</xdr:rowOff>
                  </to>
                </anchor>
              </controlPr>
            </control>
          </mc:Choice>
        </mc:AlternateContent>
        <mc:AlternateContent xmlns:mc="http://schemas.openxmlformats.org/markup-compatibility/2006">
          <mc:Choice Requires="x14">
            <control shapeId="108596" r:id="rId154" name="Check Box 3124">
              <controlPr defaultSize="0" autoFill="0" autoLine="0" autoPict="0">
                <anchor>
                  <from>
                    <xdr:col>0</xdr:col>
                    <xdr:colOff>0</xdr:colOff>
                    <xdr:row>84</xdr:row>
                    <xdr:rowOff>0</xdr:rowOff>
                  </from>
                  <to>
                    <xdr:col>5</xdr:col>
                    <xdr:colOff>0</xdr:colOff>
                    <xdr:row>85</xdr:row>
                    <xdr:rowOff>47625</xdr:rowOff>
                  </to>
                </anchor>
              </controlPr>
            </control>
          </mc:Choice>
        </mc:AlternateContent>
        <mc:AlternateContent xmlns:mc="http://schemas.openxmlformats.org/markup-compatibility/2006">
          <mc:Choice Requires="x14">
            <control shapeId="108597" r:id="rId155" name="Check Box 3125">
              <controlPr defaultSize="0" autoFill="0" autoLine="0" autoPict="0">
                <anchor>
                  <from>
                    <xdr:col>0</xdr:col>
                    <xdr:colOff>0</xdr:colOff>
                    <xdr:row>85</xdr:row>
                    <xdr:rowOff>0</xdr:rowOff>
                  </from>
                  <to>
                    <xdr:col>5</xdr:col>
                    <xdr:colOff>0</xdr:colOff>
                    <xdr:row>86</xdr:row>
                    <xdr:rowOff>47625</xdr:rowOff>
                  </to>
                </anchor>
              </controlPr>
            </control>
          </mc:Choice>
        </mc:AlternateContent>
        <mc:AlternateContent xmlns:mc="http://schemas.openxmlformats.org/markup-compatibility/2006">
          <mc:Choice Requires="x14">
            <control shapeId="108598" r:id="rId156" name="Check Box 3126">
              <controlPr defaultSize="0" autoFill="0" autoLine="0" autoPict="0">
                <anchor>
                  <from>
                    <xdr:col>0</xdr:col>
                    <xdr:colOff>0</xdr:colOff>
                    <xdr:row>86</xdr:row>
                    <xdr:rowOff>0</xdr:rowOff>
                  </from>
                  <to>
                    <xdr:col>5</xdr:col>
                    <xdr:colOff>0</xdr:colOff>
                    <xdr:row>87</xdr:row>
                    <xdr:rowOff>47625</xdr:rowOff>
                  </to>
                </anchor>
              </controlPr>
            </control>
          </mc:Choice>
        </mc:AlternateContent>
        <mc:AlternateContent xmlns:mc="http://schemas.openxmlformats.org/markup-compatibility/2006">
          <mc:Choice Requires="x14">
            <control shapeId="108599" r:id="rId157" name="Check Box 3127">
              <controlPr defaultSize="0" autoFill="0" autoLine="0" autoPict="0">
                <anchor>
                  <from>
                    <xdr:col>0</xdr:col>
                    <xdr:colOff>0</xdr:colOff>
                    <xdr:row>87</xdr:row>
                    <xdr:rowOff>0</xdr:rowOff>
                  </from>
                  <to>
                    <xdr:col>5</xdr:col>
                    <xdr:colOff>0</xdr:colOff>
                    <xdr:row>88</xdr:row>
                    <xdr:rowOff>47625</xdr:rowOff>
                  </to>
                </anchor>
              </controlPr>
            </control>
          </mc:Choice>
        </mc:AlternateContent>
        <mc:AlternateContent xmlns:mc="http://schemas.openxmlformats.org/markup-compatibility/2006">
          <mc:Choice Requires="x14">
            <control shapeId="108600" r:id="rId158" name="Check Box 3128">
              <controlPr defaultSize="0" autoFill="0" autoLine="0" autoPict="0">
                <anchor>
                  <from>
                    <xdr:col>0</xdr:col>
                    <xdr:colOff>0</xdr:colOff>
                    <xdr:row>88</xdr:row>
                    <xdr:rowOff>0</xdr:rowOff>
                  </from>
                  <to>
                    <xdr:col>5</xdr:col>
                    <xdr:colOff>0</xdr:colOff>
                    <xdr:row>89</xdr:row>
                    <xdr:rowOff>47625</xdr:rowOff>
                  </to>
                </anchor>
              </controlPr>
            </control>
          </mc:Choice>
        </mc:AlternateContent>
        <mc:AlternateContent xmlns:mc="http://schemas.openxmlformats.org/markup-compatibility/2006">
          <mc:Choice Requires="x14">
            <control shapeId="108601" r:id="rId159" name="Check Box 3129">
              <controlPr defaultSize="0" autoFill="0" autoLine="0" autoPict="0">
                <anchor>
                  <from>
                    <xdr:col>0</xdr:col>
                    <xdr:colOff>0</xdr:colOff>
                    <xdr:row>89</xdr:row>
                    <xdr:rowOff>0</xdr:rowOff>
                  </from>
                  <to>
                    <xdr:col>5</xdr:col>
                    <xdr:colOff>0</xdr:colOff>
                    <xdr:row>90</xdr:row>
                    <xdr:rowOff>47625</xdr:rowOff>
                  </to>
                </anchor>
              </controlPr>
            </control>
          </mc:Choice>
        </mc:AlternateContent>
        <mc:AlternateContent xmlns:mc="http://schemas.openxmlformats.org/markup-compatibility/2006">
          <mc:Choice Requires="x14">
            <control shapeId="108602" r:id="rId160" name="Check Box 3130">
              <controlPr defaultSize="0" autoFill="0" autoLine="0" autoPict="0">
                <anchor>
                  <from>
                    <xdr:col>0</xdr:col>
                    <xdr:colOff>0</xdr:colOff>
                    <xdr:row>90</xdr:row>
                    <xdr:rowOff>0</xdr:rowOff>
                  </from>
                  <to>
                    <xdr:col>5</xdr:col>
                    <xdr:colOff>0</xdr:colOff>
                    <xdr:row>91</xdr:row>
                    <xdr:rowOff>47625</xdr:rowOff>
                  </to>
                </anchor>
              </controlPr>
            </control>
          </mc:Choice>
        </mc:AlternateContent>
        <mc:AlternateContent xmlns:mc="http://schemas.openxmlformats.org/markup-compatibility/2006">
          <mc:Choice Requires="x14">
            <control shapeId="108603" r:id="rId161" name="Check Box 3131">
              <controlPr defaultSize="0" autoFill="0" autoLine="0" autoPict="0">
                <anchor>
                  <from>
                    <xdr:col>0</xdr:col>
                    <xdr:colOff>0</xdr:colOff>
                    <xdr:row>91</xdr:row>
                    <xdr:rowOff>0</xdr:rowOff>
                  </from>
                  <to>
                    <xdr:col>5</xdr:col>
                    <xdr:colOff>0</xdr:colOff>
                    <xdr:row>92</xdr:row>
                    <xdr:rowOff>47625</xdr:rowOff>
                  </to>
                </anchor>
              </controlPr>
            </control>
          </mc:Choice>
        </mc:AlternateContent>
        <mc:AlternateContent xmlns:mc="http://schemas.openxmlformats.org/markup-compatibility/2006">
          <mc:Choice Requires="x14">
            <control shapeId="108604" r:id="rId162" name="Check Box 3132">
              <controlPr defaultSize="0" autoFill="0" autoLine="0" autoPict="0">
                <anchor>
                  <from>
                    <xdr:col>0</xdr:col>
                    <xdr:colOff>0</xdr:colOff>
                    <xdr:row>92</xdr:row>
                    <xdr:rowOff>0</xdr:rowOff>
                  </from>
                  <to>
                    <xdr:col>5</xdr:col>
                    <xdr:colOff>0</xdr:colOff>
                    <xdr:row>93</xdr:row>
                    <xdr:rowOff>47625</xdr:rowOff>
                  </to>
                </anchor>
              </controlPr>
            </control>
          </mc:Choice>
        </mc:AlternateContent>
        <mc:AlternateContent xmlns:mc="http://schemas.openxmlformats.org/markup-compatibility/2006">
          <mc:Choice Requires="x14">
            <control shapeId="108605" r:id="rId163" name="Check Box 3133">
              <controlPr defaultSize="0" autoFill="0" autoLine="0" autoPict="0">
                <anchor>
                  <from>
                    <xdr:col>0</xdr:col>
                    <xdr:colOff>0</xdr:colOff>
                    <xdr:row>93</xdr:row>
                    <xdr:rowOff>0</xdr:rowOff>
                  </from>
                  <to>
                    <xdr:col>5</xdr:col>
                    <xdr:colOff>0</xdr:colOff>
                    <xdr:row>94</xdr:row>
                    <xdr:rowOff>47625</xdr:rowOff>
                  </to>
                </anchor>
              </controlPr>
            </control>
          </mc:Choice>
        </mc:AlternateContent>
        <mc:AlternateContent xmlns:mc="http://schemas.openxmlformats.org/markup-compatibility/2006">
          <mc:Choice Requires="x14">
            <control shapeId="108606" r:id="rId164" name="Check Box 3134">
              <controlPr defaultSize="0" autoFill="0" autoLine="0" autoPict="0">
                <anchor>
                  <from>
                    <xdr:col>0</xdr:col>
                    <xdr:colOff>0</xdr:colOff>
                    <xdr:row>94</xdr:row>
                    <xdr:rowOff>0</xdr:rowOff>
                  </from>
                  <to>
                    <xdr:col>5</xdr:col>
                    <xdr:colOff>0</xdr:colOff>
                    <xdr:row>95</xdr:row>
                    <xdr:rowOff>47625</xdr:rowOff>
                  </to>
                </anchor>
              </controlPr>
            </control>
          </mc:Choice>
        </mc:AlternateContent>
        <mc:AlternateContent xmlns:mc="http://schemas.openxmlformats.org/markup-compatibility/2006">
          <mc:Choice Requires="x14">
            <control shapeId="108607" r:id="rId165" name="Check Box 3135">
              <controlPr defaultSize="0" autoFill="0" autoLine="0" autoPict="0">
                <anchor>
                  <from>
                    <xdr:col>0</xdr:col>
                    <xdr:colOff>0</xdr:colOff>
                    <xdr:row>95</xdr:row>
                    <xdr:rowOff>0</xdr:rowOff>
                  </from>
                  <to>
                    <xdr:col>5</xdr:col>
                    <xdr:colOff>0</xdr:colOff>
                    <xdr:row>96</xdr:row>
                    <xdr:rowOff>47625</xdr:rowOff>
                  </to>
                </anchor>
              </controlPr>
            </control>
          </mc:Choice>
        </mc:AlternateContent>
        <mc:AlternateContent xmlns:mc="http://schemas.openxmlformats.org/markup-compatibility/2006">
          <mc:Choice Requires="x14">
            <control shapeId="108608" r:id="rId166" name="Check Box 3136">
              <controlPr defaultSize="0" autoFill="0" autoLine="0" autoPict="0">
                <anchor>
                  <from>
                    <xdr:col>0</xdr:col>
                    <xdr:colOff>0</xdr:colOff>
                    <xdr:row>96</xdr:row>
                    <xdr:rowOff>0</xdr:rowOff>
                  </from>
                  <to>
                    <xdr:col>5</xdr:col>
                    <xdr:colOff>0</xdr:colOff>
                    <xdr:row>97</xdr:row>
                    <xdr:rowOff>47625</xdr:rowOff>
                  </to>
                </anchor>
              </controlPr>
            </control>
          </mc:Choice>
        </mc:AlternateContent>
        <mc:AlternateContent xmlns:mc="http://schemas.openxmlformats.org/markup-compatibility/2006">
          <mc:Choice Requires="x14">
            <control shapeId="108609" r:id="rId167" name="Check Box 3137">
              <controlPr defaultSize="0" autoFill="0" autoLine="0" autoPict="0">
                <anchor>
                  <from>
                    <xdr:col>0</xdr:col>
                    <xdr:colOff>0</xdr:colOff>
                    <xdr:row>97</xdr:row>
                    <xdr:rowOff>0</xdr:rowOff>
                  </from>
                  <to>
                    <xdr:col>5</xdr:col>
                    <xdr:colOff>0</xdr:colOff>
                    <xdr:row>98</xdr:row>
                    <xdr:rowOff>47625</xdr:rowOff>
                  </to>
                </anchor>
              </controlPr>
            </control>
          </mc:Choice>
        </mc:AlternateContent>
        <mc:AlternateContent xmlns:mc="http://schemas.openxmlformats.org/markup-compatibility/2006">
          <mc:Choice Requires="x14">
            <control shapeId="108610" r:id="rId168" name="Check Box 3138">
              <controlPr defaultSize="0" autoFill="0" autoLine="0" autoPict="0">
                <anchor>
                  <from>
                    <xdr:col>0</xdr:col>
                    <xdr:colOff>0</xdr:colOff>
                    <xdr:row>98</xdr:row>
                    <xdr:rowOff>0</xdr:rowOff>
                  </from>
                  <to>
                    <xdr:col>5</xdr:col>
                    <xdr:colOff>0</xdr:colOff>
                    <xdr:row>99</xdr:row>
                    <xdr:rowOff>47625</xdr:rowOff>
                  </to>
                </anchor>
              </controlPr>
            </control>
          </mc:Choice>
        </mc:AlternateContent>
        <mc:AlternateContent xmlns:mc="http://schemas.openxmlformats.org/markup-compatibility/2006">
          <mc:Choice Requires="x14">
            <control shapeId="108611" r:id="rId169" name="Check Box 3139">
              <controlPr defaultSize="0" autoFill="0" autoLine="0" autoPict="0">
                <anchor>
                  <from>
                    <xdr:col>0</xdr:col>
                    <xdr:colOff>0</xdr:colOff>
                    <xdr:row>99</xdr:row>
                    <xdr:rowOff>0</xdr:rowOff>
                  </from>
                  <to>
                    <xdr:col>5</xdr:col>
                    <xdr:colOff>0</xdr:colOff>
                    <xdr:row>100</xdr:row>
                    <xdr:rowOff>47625</xdr:rowOff>
                  </to>
                </anchor>
              </controlPr>
            </control>
          </mc:Choice>
        </mc:AlternateContent>
        <mc:AlternateContent xmlns:mc="http://schemas.openxmlformats.org/markup-compatibility/2006">
          <mc:Choice Requires="x14">
            <control shapeId="108612" r:id="rId170" name="Check Box 3140">
              <controlPr defaultSize="0" autoFill="0" autoLine="0" autoPict="0">
                <anchor>
                  <from>
                    <xdr:col>0</xdr:col>
                    <xdr:colOff>0</xdr:colOff>
                    <xdr:row>100</xdr:row>
                    <xdr:rowOff>0</xdr:rowOff>
                  </from>
                  <to>
                    <xdr:col>5</xdr:col>
                    <xdr:colOff>0</xdr:colOff>
                    <xdr:row>101</xdr:row>
                    <xdr:rowOff>47625</xdr:rowOff>
                  </to>
                </anchor>
              </controlPr>
            </control>
          </mc:Choice>
        </mc:AlternateContent>
        <mc:AlternateContent xmlns:mc="http://schemas.openxmlformats.org/markup-compatibility/2006">
          <mc:Choice Requires="x14">
            <control shapeId="108613" r:id="rId171" name="Check Box 3141">
              <controlPr defaultSize="0" autoFill="0" autoLine="0" autoPict="0">
                <anchor>
                  <from>
                    <xdr:col>0</xdr:col>
                    <xdr:colOff>0</xdr:colOff>
                    <xdr:row>101</xdr:row>
                    <xdr:rowOff>0</xdr:rowOff>
                  </from>
                  <to>
                    <xdr:col>5</xdr:col>
                    <xdr:colOff>0</xdr:colOff>
                    <xdr:row>102</xdr:row>
                    <xdr:rowOff>47625</xdr:rowOff>
                  </to>
                </anchor>
              </controlPr>
            </control>
          </mc:Choice>
        </mc:AlternateContent>
        <mc:AlternateContent xmlns:mc="http://schemas.openxmlformats.org/markup-compatibility/2006">
          <mc:Choice Requires="x14">
            <control shapeId="108614" r:id="rId172" name="Check Box 3142">
              <controlPr defaultSize="0" autoFill="0" autoLine="0" autoPict="0">
                <anchor>
                  <from>
                    <xdr:col>0</xdr:col>
                    <xdr:colOff>0</xdr:colOff>
                    <xdr:row>102</xdr:row>
                    <xdr:rowOff>0</xdr:rowOff>
                  </from>
                  <to>
                    <xdr:col>5</xdr:col>
                    <xdr:colOff>0</xdr:colOff>
                    <xdr:row>103</xdr:row>
                    <xdr:rowOff>47625</xdr:rowOff>
                  </to>
                </anchor>
              </controlPr>
            </control>
          </mc:Choice>
        </mc:AlternateContent>
        <mc:AlternateContent xmlns:mc="http://schemas.openxmlformats.org/markup-compatibility/2006">
          <mc:Choice Requires="x14">
            <control shapeId="108615" r:id="rId173" name="Check Box 3143">
              <controlPr defaultSize="0" autoFill="0" autoLine="0" autoPict="0">
                <anchor>
                  <from>
                    <xdr:col>0</xdr:col>
                    <xdr:colOff>0</xdr:colOff>
                    <xdr:row>103</xdr:row>
                    <xdr:rowOff>0</xdr:rowOff>
                  </from>
                  <to>
                    <xdr:col>5</xdr:col>
                    <xdr:colOff>0</xdr:colOff>
                    <xdr:row>104</xdr:row>
                    <xdr:rowOff>47625</xdr:rowOff>
                  </to>
                </anchor>
              </controlPr>
            </control>
          </mc:Choice>
        </mc:AlternateContent>
        <mc:AlternateContent xmlns:mc="http://schemas.openxmlformats.org/markup-compatibility/2006">
          <mc:Choice Requires="x14">
            <control shapeId="108616" r:id="rId174" name="Check Box 3144">
              <controlPr defaultSize="0" autoFill="0" autoLine="0" autoPict="0">
                <anchor>
                  <from>
                    <xdr:col>0</xdr:col>
                    <xdr:colOff>0</xdr:colOff>
                    <xdr:row>104</xdr:row>
                    <xdr:rowOff>0</xdr:rowOff>
                  </from>
                  <to>
                    <xdr:col>5</xdr:col>
                    <xdr:colOff>0</xdr:colOff>
                    <xdr:row>105</xdr:row>
                    <xdr:rowOff>47625</xdr:rowOff>
                  </to>
                </anchor>
              </controlPr>
            </control>
          </mc:Choice>
        </mc:AlternateContent>
        <mc:AlternateContent xmlns:mc="http://schemas.openxmlformats.org/markup-compatibility/2006">
          <mc:Choice Requires="x14">
            <control shapeId="108617" r:id="rId175" name="Check Box 3145">
              <controlPr defaultSize="0" autoFill="0" autoLine="0" autoPict="0">
                <anchor>
                  <from>
                    <xdr:col>0</xdr:col>
                    <xdr:colOff>0</xdr:colOff>
                    <xdr:row>105</xdr:row>
                    <xdr:rowOff>0</xdr:rowOff>
                  </from>
                  <to>
                    <xdr:col>5</xdr:col>
                    <xdr:colOff>0</xdr:colOff>
                    <xdr:row>106</xdr:row>
                    <xdr:rowOff>47625</xdr:rowOff>
                  </to>
                </anchor>
              </controlPr>
            </control>
          </mc:Choice>
        </mc:AlternateContent>
        <mc:AlternateContent xmlns:mc="http://schemas.openxmlformats.org/markup-compatibility/2006">
          <mc:Choice Requires="x14">
            <control shapeId="108618" r:id="rId176" name="Check Box 3146">
              <controlPr defaultSize="0" autoFill="0" autoLine="0" autoPict="0">
                <anchor>
                  <from>
                    <xdr:col>0</xdr:col>
                    <xdr:colOff>0</xdr:colOff>
                    <xdr:row>106</xdr:row>
                    <xdr:rowOff>0</xdr:rowOff>
                  </from>
                  <to>
                    <xdr:col>5</xdr:col>
                    <xdr:colOff>0</xdr:colOff>
                    <xdr:row>107</xdr:row>
                    <xdr:rowOff>47625</xdr:rowOff>
                  </to>
                </anchor>
              </controlPr>
            </control>
          </mc:Choice>
        </mc:AlternateContent>
        <mc:AlternateContent xmlns:mc="http://schemas.openxmlformats.org/markup-compatibility/2006">
          <mc:Choice Requires="x14">
            <control shapeId="108619" r:id="rId177" name="Check Box 3147">
              <controlPr defaultSize="0" autoFill="0" autoLine="0" autoPict="0">
                <anchor>
                  <from>
                    <xdr:col>0</xdr:col>
                    <xdr:colOff>0</xdr:colOff>
                    <xdr:row>107</xdr:row>
                    <xdr:rowOff>0</xdr:rowOff>
                  </from>
                  <to>
                    <xdr:col>5</xdr:col>
                    <xdr:colOff>0</xdr:colOff>
                    <xdr:row>108</xdr:row>
                    <xdr:rowOff>47625</xdr:rowOff>
                  </to>
                </anchor>
              </controlPr>
            </control>
          </mc:Choice>
        </mc:AlternateContent>
        <mc:AlternateContent xmlns:mc="http://schemas.openxmlformats.org/markup-compatibility/2006">
          <mc:Choice Requires="x14">
            <control shapeId="108620" r:id="rId178" name="Check Box 3148">
              <controlPr defaultSize="0" autoFill="0" autoLine="0" autoPict="0">
                <anchor>
                  <from>
                    <xdr:col>0</xdr:col>
                    <xdr:colOff>0</xdr:colOff>
                    <xdr:row>108</xdr:row>
                    <xdr:rowOff>0</xdr:rowOff>
                  </from>
                  <to>
                    <xdr:col>5</xdr:col>
                    <xdr:colOff>0</xdr:colOff>
                    <xdr:row>109</xdr:row>
                    <xdr:rowOff>47625</xdr:rowOff>
                  </to>
                </anchor>
              </controlPr>
            </control>
          </mc:Choice>
        </mc:AlternateContent>
        <mc:AlternateContent xmlns:mc="http://schemas.openxmlformats.org/markup-compatibility/2006">
          <mc:Choice Requires="x14">
            <control shapeId="108621" r:id="rId179" name="Check Box 3149">
              <controlPr defaultSize="0" autoFill="0" autoLine="0" autoPict="0">
                <anchor>
                  <from>
                    <xdr:col>0</xdr:col>
                    <xdr:colOff>0</xdr:colOff>
                    <xdr:row>109</xdr:row>
                    <xdr:rowOff>0</xdr:rowOff>
                  </from>
                  <to>
                    <xdr:col>5</xdr:col>
                    <xdr:colOff>0</xdr:colOff>
                    <xdr:row>110</xdr:row>
                    <xdr:rowOff>47625</xdr:rowOff>
                  </to>
                </anchor>
              </controlPr>
            </control>
          </mc:Choice>
        </mc:AlternateContent>
        <mc:AlternateContent xmlns:mc="http://schemas.openxmlformats.org/markup-compatibility/2006">
          <mc:Choice Requires="x14">
            <control shapeId="108622" r:id="rId180" name="Check Box 3150">
              <controlPr defaultSize="0" autoFill="0" autoLine="0" autoPict="0">
                <anchor>
                  <from>
                    <xdr:col>0</xdr:col>
                    <xdr:colOff>0</xdr:colOff>
                    <xdr:row>110</xdr:row>
                    <xdr:rowOff>0</xdr:rowOff>
                  </from>
                  <to>
                    <xdr:col>5</xdr:col>
                    <xdr:colOff>0</xdr:colOff>
                    <xdr:row>111</xdr:row>
                    <xdr:rowOff>47625</xdr:rowOff>
                  </to>
                </anchor>
              </controlPr>
            </control>
          </mc:Choice>
        </mc:AlternateContent>
        <mc:AlternateContent xmlns:mc="http://schemas.openxmlformats.org/markup-compatibility/2006">
          <mc:Choice Requires="x14">
            <control shapeId="108623" r:id="rId181" name="Check Box 3151">
              <controlPr defaultSize="0" autoFill="0" autoLine="0" autoPict="0">
                <anchor>
                  <from>
                    <xdr:col>0</xdr:col>
                    <xdr:colOff>0</xdr:colOff>
                    <xdr:row>111</xdr:row>
                    <xdr:rowOff>0</xdr:rowOff>
                  </from>
                  <to>
                    <xdr:col>5</xdr:col>
                    <xdr:colOff>0</xdr:colOff>
                    <xdr:row>112</xdr:row>
                    <xdr:rowOff>47625</xdr:rowOff>
                  </to>
                </anchor>
              </controlPr>
            </control>
          </mc:Choice>
        </mc:AlternateContent>
        <mc:AlternateContent xmlns:mc="http://schemas.openxmlformats.org/markup-compatibility/2006">
          <mc:Choice Requires="x14">
            <control shapeId="108624" r:id="rId182" name="Check Box 3152">
              <controlPr defaultSize="0" autoFill="0" autoLine="0" autoPict="0">
                <anchor>
                  <from>
                    <xdr:col>0</xdr:col>
                    <xdr:colOff>0</xdr:colOff>
                    <xdr:row>112</xdr:row>
                    <xdr:rowOff>0</xdr:rowOff>
                  </from>
                  <to>
                    <xdr:col>5</xdr:col>
                    <xdr:colOff>0</xdr:colOff>
                    <xdr:row>113</xdr:row>
                    <xdr:rowOff>47625</xdr:rowOff>
                  </to>
                </anchor>
              </controlPr>
            </control>
          </mc:Choice>
        </mc:AlternateContent>
        <mc:AlternateContent xmlns:mc="http://schemas.openxmlformats.org/markup-compatibility/2006">
          <mc:Choice Requires="x14">
            <control shapeId="108625" r:id="rId183" name="Check Box 3153">
              <controlPr defaultSize="0" autoFill="0" autoLine="0" autoPict="0">
                <anchor>
                  <from>
                    <xdr:col>0</xdr:col>
                    <xdr:colOff>0</xdr:colOff>
                    <xdr:row>113</xdr:row>
                    <xdr:rowOff>0</xdr:rowOff>
                  </from>
                  <to>
                    <xdr:col>5</xdr:col>
                    <xdr:colOff>0</xdr:colOff>
                    <xdr:row>114</xdr:row>
                    <xdr:rowOff>47625</xdr:rowOff>
                  </to>
                </anchor>
              </controlPr>
            </control>
          </mc:Choice>
        </mc:AlternateContent>
        <mc:AlternateContent xmlns:mc="http://schemas.openxmlformats.org/markup-compatibility/2006">
          <mc:Choice Requires="x14">
            <control shapeId="108626" r:id="rId184" name="Check Box 3154">
              <controlPr defaultSize="0" autoFill="0" autoLine="0" autoPict="0">
                <anchor>
                  <from>
                    <xdr:col>0</xdr:col>
                    <xdr:colOff>0</xdr:colOff>
                    <xdr:row>114</xdr:row>
                    <xdr:rowOff>0</xdr:rowOff>
                  </from>
                  <to>
                    <xdr:col>5</xdr:col>
                    <xdr:colOff>0</xdr:colOff>
                    <xdr:row>115</xdr:row>
                    <xdr:rowOff>47625</xdr:rowOff>
                  </to>
                </anchor>
              </controlPr>
            </control>
          </mc:Choice>
        </mc:AlternateContent>
        <mc:AlternateContent xmlns:mc="http://schemas.openxmlformats.org/markup-compatibility/2006">
          <mc:Choice Requires="x14">
            <control shapeId="108627" r:id="rId185" name="Check Box 3155">
              <controlPr defaultSize="0" autoFill="0" autoLine="0" autoPict="0">
                <anchor>
                  <from>
                    <xdr:col>0</xdr:col>
                    <xdr:colOff>0</xdr:colOff>
                    <xdr:row>115</xdr:row>
                    <xdr:rowOff>0</xdr:rowOff>
                  </from>
                  <to>
                    <xdr:col>5</xdr:col>
                    <xdr:colOff>0</xdr:colOff>
                    <xdr:row>116</xdr:row>
                    <xdr:rowOff>47625</xdr:rowOff>
                  </to>
                </anchor>
              </controlPr>
            </control>
          </mc:Choice>
        </mc:AlternateContent>
        <mc:AlternateContent xmlns:mc="http://schemas.openxmlformats.org/markup-compatibility/2006">
          <mc:Choice Requires="x14">
            <control shapeId="108628" r:id="rId186" name="Check Box 3156">
              <controlPr defaultSize="0" autoFill="0" autoLine="0" autoPict="0">
                <anchor>
                  <from>
                    <xdr:col>0</xdr:col>
                    <xdr:colOff>0</xdr:colOff>
                    <xdr:row>116</xdr:row>
                    <xdr:rowOff>0</xdr:rowOff>
                  </from>
                  <to>
                    <xdr:col>5</xdr:col>
                    <xdr:colOff>0</xdr:colOff>
                    <xdr:row>117</xdr:row>
                    <xdr:rowOff>47625</xdr:rowOff>
                  </to>
                </anchor>
              </controlPr>
            </control>
          </mc:Choice>
        </mc:AlternateContent>
        <mc:AlternateContent xmlns:mc="http://schemas.openxmlformats.org/markup-compatibility/2006">
          <mc:Choice Requires="x14">
            <control shapeId="108629" r:id="rId187" name="Check Box 3157">
              <controlPr defaultSize="0" autoFill="0" autoLine="0" autoPict="0">
                <anchor>
                  <from>
                    <xdr:col>0</xdr:col>
                    <xdr:colOff>0</xdr:colOff>
                    <xdr:row>117</xdr:row>
                    <xdr:rowOff>0</xdr:rowOff>
                  </from>
                  <to>
                    <xdr:col>5</xdr:col>
                    <xdr:colOff>0</xdr:colOff>
                    <xdr:row>118</xdr:row>
                    <xdr:rowOff>47625</xdr:rowOff>
                  </to>
                </anchor>
              </controlPr>
            </control>
          </mc:Choice>
        </mc:AlternateContent>
        <mc:AlternateContent xmlns:mc="http://schemas.openxmlformats.org/markup-compatibility/2006">
          <mc:Choice Requires="x14">
            <control shapeId="108630" r:id="rId188" name="Check Box 3158">
              <controlPr defaultSize="0" autoFill="0" autoLine="0" autoPict="0">
                <anchor>
                  <from>
                    <xdr:col>0</xdr:col>
                    <xdr:colOff>0</xdr:colOff>
                    <xdr:row>118</xdr:row>
                    <xdr:rowOff>0</xdr:rowOff>
                  </from>
                  <to>
                    <xdr:col>5</xdr:col>
                    <xdr:colOff>0</xdr:colOff>
                    <xdr:row>119</xdr:row>
                    <xdr:rowOff>47625</xdr:rowOff>
                  </to>
                </anchor>
              </controlPr>
            </control>
          </mc:Choice>
        </mc:AlternateContent>
        <mc:AlternateContent xmlns:mc="http://schemas.openxmlformats.org/markup-compatibility/2006">
          <mc:Choice Requires="x14">
            <control shapeId="108631" r:id="rId189" name="Check Box 3159">
              <controlPr defaultSize="0" autoFill="0" autoLine="0" autoPict="0">
                <anchor>
                  <from>
                    <xdr:col>0</xdr:col>
                    <xdr:colOff>0</xdr:colOff>
                    <xdr:row>119</xdr:row>
                    <xdr:rowOff>0</xdr:rowOff>
                  </from>
                  <to>
                    <xdr:col>5</xdr:col>
                    <xdr:colOff>0</xdr:colOff>
                    <xdr:row>120</xdr:row>
                    <xdr:rowOff>47625</xdr:rowOff>
                  </to>
                </anchor>
              </controlPr>
            </control>
          </mc:Choice>
        </mc:AlternateContent>
        <mc:AlternateContent xmlns:mc="http://schemas.openxmlformats.org/markup-compatibility/2006">
          <mc:Choice Requires="x14">
            <control shapeId="108632" r:id="rId190" name="Check Box 3160">
              <controlPr defaultSize="0" autoFill="0" autoLine="0" autoPict="0">
                <anchor>
                  <from>
                    <xdr:col>0</xdr:col>
                    <xdr:colOff>0</xdr:colOff>
                    <xdr:row>120</xdr:row>
                    <xdr:rowOff>0</xdr:rowOff>
                  </from>
                  <to>
                    <xdr:col>5</xdr:col>
                    <xdr:colOff>0</xdr:colOff>
                    <xdr:row>121</xdr:row>
                    <xdr:rowOff>47625</xdr:rowOff>
                  </to>
                </anchor>
              </controlPr>
            </control>
          </mc:Choice>
        </mc:AlternateContent>
        <mc:AlternateContent xmlns:mc="http://schemas.openxmlformats.org/markup-compatibility/2006">
          <mc:Choice Requires="x14">
            <control shapeId="108633" r:id="rId191" name="Check Box 3161">
              <controlPr defaultSize="0" autoFill="0" autoLine="0" autoPict="0">
                <anchor>
                  <from>
                    <xdr:col>0</xdr:col>
                    <xdr:colOff>0</xdr:colOff>
                    <xdr:row>121</xdr:row>
                    <xdr:rowOff>0</xdr:rowOff>
                  </from>
                  <to>
                    <xdr:col>5</xdr:col>
                    <xdr:colOff>0</xdr:colOff>
                    <xdr:row>122</xdr:row>
                    <xdr:rowOff>47625</xdr:rowOff>
                  </to>
                </anchor>
              </controlPr>
            </control>
          </mc:Choice>
        </mc:AlternateContent>
        <mc:AlternateContent xmlns:mc="http://schemas.openxmlformats.org/markup-compatibility/2006">
          <mc:Choice Requires="x14">
            <control shapeId="108634" r:id="rId192" name="Check Box 3162">
              <controlPr defaultSize="0" autoFill="0" autoLine="0" autoPict="0">
                <anchor>
                  <from>
                    <xdr:col>0</xdr:col>
                    <xdr:colOff>0</xdr:colOff>
                    <xdr:row>122</xdr:row>
                    <xdr:rowOff>0</xdr:rowOff>
                  </from>
                  <to>
                    <xdr:col>5</xdr:col>
                    <xdr:colOff>0</xdr:colOff>
                    <xdr:row>123</xdr:row>
                    <xdr:rowOff>47625</xdr:rowOff>
                  </to>
                </anchor>
              </controlPr>
            </control>
          </mc:Choice>
        </mc:AlternateContent>
        <mc:AlternateContent xmlns:mc="http://schemas.openxmlformats.org/markup-compatibility/2006">
          <mc:Choice Requires="x14">
            <control shapeId="108635" r:id="rId193" name="Check Box 3163">
              <controlPr defaultSize="0" autoFill="0" autoLine="0" autoPict="0">
                <anchor>
                  <from>
                    <xdr:col>0</xdr:col>
                    <xdr:colOff>0</xdr:colOff>
                    <xdr:row>123</xdr:row>
                    <xdr:rowOff>0</xdr:rowOff>
                  </from>
                  <to>
                    <xdr:col>5</xdr:col>
                    <xdr:colOff>0</xdr:colOff>
                    <xdr:row>124</xdr:row>
                    <xdr:rowOff>47625</xdr:rowOff>
                  </to>
                </anchor>
              </controlPr>
            </control>
          </mc:Choice>
        </mc:AlternateContent>
        <mc:AlternateContent xmlns:mc="http://schemas.openxmlformats.org/markup-compatibility/2006">
          <mc:Choice Requires="x14">
            <control shapeId="108636" r:id="rId194" name="Check Box 3164">
              <controlPr defaultSize="0" autoFill="0" autoLine="0" autoPict="0">
                <anchor>
                  <from>
                    <xdr:col>0</xdr:col>
                    <xdr:colOff>0</xdr:colOff>
                    <xdr:row>124</xdr:row>
                    <xdr:rowOff>0</xdr:rowOff>
                  </from>
                  <to>
                    <xdr:col>5</xdr:col>
                    <xdr:colOff>0</xdr:colOff>
                    <xdr:row>125</xdr:row>
                    <xdr:rowOff>47625</xdr:rowOff>
                  </to>
                </anchor>
              </controlPr>
            </control>
          </mc:Choice>
        </mc:AlternateContent>
        <mc:AlternateContent xmlns:mc="http://schemas.openxmlformats.org/markup-compatibility/2006">
          <mc:Choice Requires="x14">
            <control shapeId="108637" r:id="rId195" name="Check Box 3165">
              <controlPr defaultSize="0" autoFill="0" autoLine="0" autoPict="0">
                <anchor>
                  <from>
                    <xdr:col>0</xdr:col>
                    <xdr:colOff>0</xdr:colOff>
                    <xdr:row>125</xdr:row>
                    <xdr:rowOff>0</xdr:rowOff>
                  </from>
                  <to>
                    <xdr:col>5</xdr:col>
                    <xdr:colOff>0</xdr:colOff>
                    <xdr:row>126</xdr:row>
                    <xdr:rowOff>47625</xdr:rowOff>
                  </to>
                </anchor>
              </controlPr>
            </control>
          </mc:Choice>
        </mc:AlternateContent>
        <mc:AlternateContent xmlns:mc="http://schemas.openxmlformats.org/markup-compatibility/2006">
          <mc:Choice Requires="x14">
            <control shapeId="108638" r:id="rId196" name="Check Box 3166">
              <controlPr defaultSize="0" autoFill="0" autoLine="0" autoPict="0">
                <anchor>
                  <from>
                    <xdr:col>0</xdr:col>
                    <xdr:colOff>0</xdr:colOff>
                    <xdr:row>126</xdr:row>
                    <xdr:rowOff>0</xdr:rowOff>
                  </from>
                  <to>
                    <xdr:col>5</xdr:col>
                    <xdr:colOff>0</xdr:colOff>
                    <xdr:row>127</xdr:row>
                    <xdr:rowOff>47625</xdr:rowOff>
                  </to>
                </anchor>
              </controlPr>
            </control>
          </mc:Choice>
        </mc:AlternateContent>
        <mc:AlternateContent xmlns:mc="http://schemas.openxmlformats.org/markup-compatibility/2006">
          <mc:Choice Requires="x14">
            <control shapeId="108639" r:id="rId197" name="Check Box 3167">
              <controlPr defaultSize="0" autoFill="0" autoLine="0" autoPict="0">
                <anchor>
                  <from>
                    <xdr:col>0</xdr:col>
                    <xdr:colOff>0</xdr:colOff>
                    <xdr:row>127</xdr:row>
                    <xdr:rowOff>0</xdr:rowOff>
                  </from>
                  <to>
                    <xdr:col>5</xdr:col>
                    <xdr:colOff>0</xdr:colOff>
                    <xdr:row>128</xdr:row>
                    <xdr:rowOff>47625</xdr:rowOff>
                  </to>
                </anchor>
              </controlPr>
            </control>
          </mc:Choice>
        </mc:AlternateContent>
        <mc:AlternateContent xmlns:mc="http://schemas.openxmlformats.org/markup-compatibility/2006">
          <mc:Choice Requires="x14">
            <control shapeId="108640" r:id="rId198" name="Check Box 3168">
              <controlPr defaultSize="0" autoFill="0" autoLine="0" autoPict="0">
                <anchor>
                  <from>
                    <xdr:col>0</xdr:col>
                    <xdr:colOff>0</xdr:colOff>
                    <xdr:row>128</xdr:row>
                    <xdr:rowOff>0</xdr:rowOff>
                  </from>
                  <to>
                    <xdr:col>5</xdr:col>
                    <xdr:colOff>0</xdr:colOff>
                    <xdr:row>129</xdr:row>
                    <xdr:rowOff>47625</xdr:rowOff>
                  </to>
                </anchor>
              </controlPr>
            </control>
          </mc:Choice>
        </mc:AlternateContent>
        <mc:AlternateContent xmlns:mc="http://schemas.openxmlformats.org/markup-compatibility/2006">
          <mc:Choice Requires="x14">
            <control shapeId="108641" r:id="rId199" name="Check Box 3169">
              <controlPr defaultSize="0" autoFill="0" autoLine="0" autoPict="0">
                <anchor>
                  <from>
                    <xdr:col>0</xdr:col>
                    <xdr:colOff>0</xdr:colOff>
                    <xdr:row>129</xdr:row>
                    <xdr:rowOff>0</xdr:rowOff>
                  </from>
                  <to>
                    <xdr:col>5</xdr:col>
                    <xdr:colOff>0</xdr:colOff>
                    <xdr:row>130</xdr:row>
                    <xdr:rowOff>47625</xdr:rowOff>
                  </to>
                </anchor>
              </controlPr>
            </control>
          </mc:Choice>
        </mc:AlternateContent>
        <mc:AlternateContent xmlns:mc="http://schemas.openxmlformats.org/markup-compatibility/2006">
          <mc:Choice Requires="x14">
            <control shapeId="108642" r:id="rId200" name="Check Box 3170">
              <controlPr defaultSize="0" autoFill="0" autoLine="0" autoPict="0">
                <anchor>
                  <from>
                    <xdr:col>0</xdr:col>
                    <xdr:colOff>0</xdr:colOff>
                    <xdr:row>130</xdr:row>
                    <xdr:rowOff>0</xdr:rowOff>
                  </from>
                  <to>
                    <xdr:col>5</xdr:col>
                    <xdr:colOff>0</xdr:colOff>
                    <xdr:row>131</xdr:row>
                    <xdr:rowOff>47625</xdr:rowOff>
                  </to>
                </anchor>
              </controlPr>
            </control>
          </mc:Choice>
        </mc:AlternateContent>
        <mc:AlternateContent xmlns:mc="http://schemas.openxmlformats.org/markup-compatibility/2006">
          <mc:Choice Requires="x14">
            <control shapeId="108643" r:id="rId201" name="Check Box 3171">
              <controlPr defaultSize="0" autoFill="0" autoLine="0" autoPict="0">
                <anchor>
                  <from>
                    <xdr:col>0</xdr:col>
                    <xdr:colOff>0</xdr:colOff>
                    <xdr:row>131</xdr:row>
                    <xdr:rowOff>0</xdr:rowOff>
                  </from>
                  <to>
                    <xdr:col>5</xdr:col>
                    <xdr:colOff>0</xdr:colOff>
                    <xdr:row>132</xdr:row>
                    <xdr:rowOff>47625</xdr:rowOff>
                  </to>
                </anchor>
              </controlPr>
            </control>
          </mc:Choice>
        </mc:AlternateContent>
        <mc:AlternateContent xmlns:mc="http://schemas.openxmlformats.org/markup-compatibility/2006">
          <mc:Choice Requires="x14">
            <control shapeId="108644" r:id="rId202" name="Check Box 3172">
              <controlPr defaultSize="0" autoFill="0" autoLine="0" autoPict="0">
                <anchor>
                  <from>
                    <xdr:col>0</xdr:col>
                    <xdr:colOff>0</xdr:colOff>
                    <xdr:row>132</xdr:row>
                    <xdr:rowOff>0</xdr:rowOff>
                  </from>
                  <to>
                    <xdr:col>5</xdr:col>
                    <xdr:colOff>0</xdr:colOff>
                    <xdr:row>133</xdr:row>
                    <xdr:rowOff>47625</xdr:rowOff>
                  </to>
                </anchor>
              </controlPr>
            </control>
          </mc:Choice>
        </mc:AlternateContent>
        <mc:AlternateContent xmlns:mc="http://schemas.openxmlformats.org/markup-compatibility/2006">
          <mc:Choice Requires="x14">
            <control shapeId="108645" r:id="rId203" name="Check Box 3173">
              <controlPr defaultSize="0" autoFill="0" autoLine="0" autoPict="0">
                <anchor>
                  <from>
                    <xdr:col>0</xdr:col>
                    <xdr:colOff>0</xdr:colOff>
                    <xdr:row>133</xdr:row>
                    <xdr:rowOff>0</xdr:rowOff>
                  </from>
                  <to>
                    <xdr:col>5</xdr:col>
                    <xdr:colOff>0</xdr:colOff>
                    <xdr:row>134</xdr:row>
                    <xdr:rowOff>47625</xdr:rowOff>
                  </to>
                </anchor>
              </controlPr>
            </control>
          </mc:Choice>
        </mc:AlternateContent>
        <mc:AlternateContent xmlns:mc="http://schemas.openxmlformats.org/markup-compatibility/2006">
          <mc:Choice Requires="x14">
            <control shapeId="108646" r:id="rId204" name="Check Box 3174">
              <controlPr defaultSize="0" autoFill="0" autoLine="0" autoPict="0">
                <anchor>
                  <from>
                    <xdr:col>0</xdr:col>
                    <xdr:colOff>0</xdr:colOff>
                    <xdr:row>134</xdr:row>
                    <xdr:rowOff>0</xdr:rowOff>
                  </from>
                  <to>
                    <xdr:col>5</xdr:col>
                    <xdr:colOff>0</xdr:colOff>
                    <xdr:row>135</xdr:row>
                    <xdr:rowOff>47625</xdr:rowOff>
                  </to>
                </anchor>
              </controlPr>
            </control>
          </mc:Choice>
        </mc:AlternateContent>
        <mc:AlternateContent xmlns:mc="http://schemas.openxmlformats.org/markup-compatibility/2006">
          <mc:Choice Requires="x14">
            <control shapeId="108647" r:id="rId205" name="Check Box 3175">
              <controlPr defaultSize="0" autoFill="0" autoLine="0" autoPict="0">
                <anchor>
                  <from>
                    <xdr:col>0</xdr:col>
                    <xdr:colOff>0</xdr:colOff>
                    <xdr:row>135</xdr:row>
                    <xdr:rowOff>0</xdr:rowOff>
                  </from>
                  <to>
                    <xdr:col>5</xdr:col>
                    <xdr:colOff>0</xdr:colOff>
                    <xdr:row>136</xdr:row>
                    <xdr:rowOff>47625</xdr:rowOff>
                  </to>
                </anchor>
              </controlPr>
            </control>
          </mc:Choice>
        </mc:AlternateContent>
        <mc:AlternateContent xmlns:mc="http://schemas.openxmlformats.org/markup-compatibility/2006">
          <mc:Choice Requires="x14">
            <control shapeId="108648" r:id="rId206" name="Check Box 3176">
              <controlPr defaultSize="0" autoFill="0" autoLine="0" autoPict="0">
                <anchor>
                  <from>
                    <xdr:col>0</xdr:col>
                    <xdr:colOff>0</xdr:colOff>
                    <xdr:row>136</xdr:row>
                    <xdr:rowOff>0</xdr:rowOff>
                  </from>
                  <to>
                    <xdr:col>5</xdr:col>
                    <xdr:colOff>0</xdr:colOff>
                    <xdr:row>137</xdr:row>
                    <xdr:rowOff>47625</xdr:rowOff>
                  </to>
                </anchor>
              </controlPr>
            </control>
          </mc:Choice>
        </mc:AlternateContent>
        <mc:AlternateContent xmlns:mc="http://schemas.openxmlformats.org/markup-compatibility/2006">
          <mc:Choice Requires="x14">
            <control shapeId="108649" r:id="rId207" name="Check Box 3177">
              <controlPr defaultSize="0" autoFill="0" autoLine="0" autoPict="0">
                <anchor>
                  <from>
                    <xdr:col>0</xdr:col>
                    <xdr:colOff>0</xdr:colOff>
                    <xdr:row>137</xdr:row>
                    <xdr:rowOff>0</xdr:rowOff>
                  </from>
                  <to>
                    <xdr:col>5</xdr:col>
                    <xdr:colOff>0</xdr:colOff>
                    <xdr:row>138</xdr:row>
                    <xdr:rowOff>47625</xdr:rowOff>
                  </to>
                </anchor>
              </controlPr>
            </control>
          </mc:Choice>
        </mc:AlternateContent>
        <mc:AlternateContent xmlns:mc="http://schemas.openxmlformats.org/markup-compatibility/2006">
          <mc:Choice Requires="x14">
            <control shapeId="108650" r:id="rId208" name="Check Box 3178">
              <controlPr defaultSize="0" autoFill="0" autoLine="0" autoPict="0">
                <anchor>
                  <from>
                    <xdr:col>0</xdr:col>
                    <xdr:colOff>0</xdr:colOff>
                    <xdr:row>138</xdr:row>
                    <xdr:rowOff>0</xdr:rowOff>
                  </from>
                  <to>
                    <xdr:col>5</xdr:col>
                    <xdr:colOff>0</xdr:colOff>
                    <xdr:row>139</xdr:row>
                    <xdr:rowOff>47625</xdr:rowOff>
                  </to>
                </anchor>
              </controlPr>
            </control>
          </mc:Choice>
        </mc:AlternateContent>
        <mc:AlternateContent xmlns:mc="http://schemas.openxmlformats.org/markup-compatibility/2006">
          <mc:Choice Requires="x14">
            <control shapeId="108651" r:id="rId209" name="Check Box 3179">
              <controlPr defaultSize="0" autoFill="0" autoLine="0" autoPict="0">
                <anchor>
                  <from>
                    <xdr:col>0</xdr:col>
                    <xdr:colOff>0</xdr:colOff>
                    <xdr:row>139</xdr:row>
                    <xdr:rowOff>0</xdr:rowOff>
                  </from>
                  <to>
                    <xdr:col>5</xdr:col>
                    <xdr:colOff>0</xdr:colOff>
                    <xdr:row>140</xdr:row>
                    <xdr:rowOff>47625</xdr:rowOff>
                  </to>
                </anchor>
              </controlPr>
            </control>
          </mc:Choice>
        </mc:AlternateContent>
        <mc:AlternateContent xmlns:mc="http://schemas.openxmlformats.org/markup-compatibility/2006">
          <mc:Choice Requires="x14">
            <control shapeId="108652" r:id="rId210" name="Check Box 3180">
              <controlPr defaultSize="0" autoFill="0" autoLine="0" autoPict="0">
                <anchor>
                  <from>
                    <xdr:col>0</xdr:col>
                    <xdr:colOff>0</xdr:colOff>
                    <xdr:row>140</xdr:row>
                    <xdr:rowOff>0</xdr:rowOff>
                  </from>
                  <to>
                    <xdr:col>5</xdr:col>
                    <xdr:colOff>0</xdr:colOff>
                    <xdr:row>141</xdr:row>
                    <xdr:rowOff>47625</xdr:rowOff>
                  </to>
                </anchor>
              </controlPr>
            </control>
          </mc:Choice>
        </mc:AlternateContent>
        <mc:AlternateContent xmlns:mc="http://schemas.openxmlformats.org/markup-compatibility/2006">
          <mc:Choice Requires="x14">
            <control shapeId="108653" r:id="rId211" name="Check Box 3181">
              <controlPr defaultSize="0" autoFill="0" autoLine="0" autoPict="0">
                <anchor>
                  <from>
                    <xdr:col>0</xdr:col>
                    <xdr:colOff>0</xdr:colOff>
                    <xdr:row>141</xdr:row>
                    <xdr:rowOff>0</xdr:rowOff>
                  </from>
                  <to>
                    <xdr:col>5</xdr:col>
                    <xdr:colOff>0</xdr:colOff>
                    <xdr:row>142</xdr:row>
                    <xdr:rowOff>47625</xdr:rowOff>
                  </to>
                </anchor>
              </controlPr>
            </control>
          </mc:Choice>
        </mc:AlternateContent>
        <mc:AlternateContent xmlns:mc="http://schemas.openxmlformats.org/markup-compatibility/2006">
          <mc:Choice Requires="x14">
            <control shapeId="108654" r:id="rId212" name="Check Box 3182">
              <controlPr defaultSize="0" autoFill="0" autoLine="0" autoPict="0">
                <anchor>
                  <from>
                    <xdr:col>0</xdr:col>
                    <xdr:colOff>0</xdr:colOff>
                    <xdr:row>142</xdr:row>
                    <xdr:rowOff>0</xdr:rowOff>
                  </from>
                  <to>
                    <xdr:col>5</xdr:col>
                    <xdr:colOff>0</xdr:colOff>
                    <xdr:row>143</xdr:row>
                    <xdr:rowOff>47625</xdr:rowOff>
                  </to>
                </anchor>
              </controlPr>
            </control>
          </mc:Choice>
        </mc:AlternateContent>
        <mc:AlternateContent xmlns:mc="http://schemas.openxmlformats.org/markup-compatibility/2006">
          <mc:Choice Requires="x14">
            <control shapeId="108655" r:id="rId213" name="Check Box 3183">
              <controlPr defaultSize="0" autoFill="0" autoLine="0" autoPict="0">
                <anchor>
                  <from>
                    <xdr:col>0</xdr:col>
                    <xdr:colOff>0</xdr:colOff>
                    <xdr:row>143</xdr:row>
                    <xdr:rowOff>0</xdr:rowOff>
                  </from>
                  <to>
                    <xdr:col>5</xdr:col>
                    <xdr:colOff>0</xdr:colOff>
                    <xdr:row>144</xdr:row>
                    <xdr:rowOff>47625</xdr:rowOff>
                  </to>
                </anchor>
              </controlPr>
            </control>
          </mc:Choice>
        </mc:AlternateContent>
        <mc:AlternateContent xmlns:mc="http://schemas.openxmlformats.org/markup-compatibility/2006">
          <mc:Choice Requires="x14">
            <control shapeId="108656" r:id="rId214" name="Check Box 3184">
              <controlPr defaultSize="0" autoFill="0" autoLine="0" autoPict="0">
                <anchor>
                  <from>
                    <xdr:col>0</xdr:col>
                    <xdr:colOff>0</xdr:colOff>
                    <xdr:row>144</xdr:row>
                    <xdr:rowOff>0</xdr:rowOff>
                  </from>
                  <to>
                    <xdr:col>5</xdr:col>
                    <xdr:colOff>0</xdr:colOff>
                    <xdr:row>145</xdr:row>
                    <xdr:rowOff>47625</xdr:rowOff>
                  </to>
                </anchor>
              </controlPr>
            </control>
          </mc:Choice>
        </mc:AlternateContent>
        <mc:AlternateContent xmlns:mc="http://schemas.openxmlformats.org/markup-compatibility/2006">
          <mc:Choice Requires="x14">
            <control shapeId="108657" r:id="rId215" name="Check Box 3185">
              <controlPr defaultSize="0" autoFill="0" autoLine="0" autoPict="0">
                <anchor>
                  <from>
                    <xdr:col>0</xdr:col>
                    <xdr:colOff>0</xdr:colOff>
                    <xdr:row>145</xdr:row>
                    <xdr:rowOff>0</xdr:rowOff>
                  </from>
                  <to>
                    <xdr:col>5</xdr:col>
                    <xdr:colOff>0</xdr:colOff>
                    <xdr:row>146</xdr:row>
                    <xdr:rowOff>47625</xdr:rowOff>
                  </to>
                </anchor>
              </controlPr>
            </control>
          </mc:Choice>
        </mc:AlternateContent>
        <mc:AlternateContent xmlns:mc="http://schemas.openxmlformats.org/markup-compatibility/2006">
          <mc:Choice Requires="x14">
            <control shapeId="108658" r:id="rId216" name="Check Box 3186">
              <controlPr defaultSize="0" autoFill="0" autoLine="0" autoPict="0">
                <anchor>
                  <from>
                    <xdr:col>0</xdr:col>
                    <xdr:colOff>0</xdr:colOff>
                    <xdr:row>146</xdr:row>
                    <xdr:rowOff>0</xdr:rowOff>
                  </from>
                  <to>
                    <xdr:col>5</xdr:col>
                    <xdr:colOff>0</xdr:colOff>
                    <xdr:row>147</xdr:row>
                    <xdr:rowOff>47625</xdr:rowOff>
                  </to>
                </anchor>
              </controlPr>
            </control>
          </mc:Choice>
        </mc:AlternateContent>
        <mc:AlternateContent xmlns:mc="http://schemas.openxmlformats.org/markup-compatibility/2006">
          <mc:Choice Requires="x14">
            <control shapeId="108659" r:id="rId217" name="Check Box 3187">
              <controlPr defaultSize="0" autoFill="0" autoLine="0" autoPict="0">
                <anchor>
                  <from>
                    <xdr:col>0</xdr:col>
                    <xdr:colOff>0</xdr:colOff>
                    <xdr:row>147</xdr:row>
                    <xdr:rowOff>0</xdr:rowOff>
                  </from>
                  <to>
                    <xdr:col>5</xdr:col>
                    <xdr:colOff>0</xdr:colOff>
                    <xdr:row>148</xdr:row>
                    <xdr:rowOff>47625</xdr:rowOff>
                  </to>
                </anchor>
              </controlPr>
            </control>
          </mc:Choice>
        </mc:AlternateContent>
        <mc:AlternateContent xmlns:mc="http://schemas.openxmlformats.org/markup-compatibility/2006">
          <mc:Choice Requires="x14">
            <control shapeId="108660" r:id="rId218" name="Check Box 3188">
              <controlPr defaultSize="0" autoFill="0" autoLine="0" autoPict="0">
                <anchor>
                  <from>
                    <xdr:col>0</xdr:col>
                    <xdr:colOff>0</xdr:colOff>
                    <xdr:row>148</xdr:row>
                    <xdr:rowOff>0</xdr:rowOff>
                  </from>
                  <to>
                    <xdr:col>5</xdr:col>
                    <xdr:colOff>0</xdr:colOff>
                    <xdr:row>149</xdr:row>
                    <xdr:rowOff>47625</xdr:rowOff>
                  </to>
                </anchor>
              </controlPr>
            </control>
          </mc:Choice>
        </mc:AlternateContent>
        <mc:AlternateContent xmlns:mc="http://schemas.openxmlformats.org/markup-compatibility/2006">
          <mc:Choice Requires="x14">
            <control shapeId="108661" r:id="rId219" name="Check Box 3189">
              <controlPr defaultSize="0" autoFill="0" autoLine="0" autoPict="0">
                <anchor>
                  <from>
                    <xdr:col>0</xdr:col>
                    <xdr:colOff>0</xdr:colOff>
                    <xdr:row>149</xdr:row>
                    <xdr:rowOff>0</xdr:rowOff>
                  </from>
                  <to>
                    <xdr:col>5</xdr:col>
                    <xdr:colOff>0</xdr:colOff>
                    <xdr:row>150</xdr:row>
                    <xdr:rowOff>47625</xdr:rowOff>
                  </to>
                </anchor>
              </controlPr>
            </control>
          </mc:Choice>
        </mc:AlternateContent>
        <mc:AlternateContent xmlns:mc="http://schemas.openxmlformats.org/markup-compatibility/2006">
          <mc:Choice Requires="x14">
            <control shapeId="108662" r:id="rId220" name="Check Box 3190">
              <controlPr defaultSize="0" autoFill="0" autoLine="0" autoPict="0">
                <anchor>
                  <from>
                    <xdr:col>0</xdr:col>
                    <xdr:colOff>0</xdr:colOff>
                    <xdr:row>150</xdr:row>
                    <xdr:rowOff>0</xdr:rowOff>
                  </from>
                  <to>
                    <xdr:col>5</xdr:col>
                    <xdr:colOff>0</xdr:colOff>
                    <xdr:row>151</xdr:row>
                    <xdr:rowOff>47625</xdr:rowOff>
                  </to>
                </anchor>
              </controlPr>
            </control>
          </mc:Choice>
        </mc:AlternateContent>
        <mc:AlternateContent xmlns:mc="http://schemas.openxmlformats.org/markup-compatibility/2006">
          <mc:Choice Requires="x14">
            <control shapeId="108663" r:id="rId221" name="Check Box 3191">
              <controlPr defaultSize="0" autoFill="0" autoLine="0" autoPict="0">
                <anchor>
                  <from>
                    <xdr:col>0</xdr:col>
                    <xdr:colOff>0</xdr:colOff>
                    <xdr:row>151</xdr:row>
                    <xdr:rowOff>0</xdr:rowOff>
                  </from>
                  <to>
                    <xdr:col>5</xdr:col>
                    <xdr:colOff>0</xdr:colOff>
                    <xdr:row>152</xdr:row>
                    <xdr:rowOff>47625</xdr:rowOff>
                  </to>
                </anchor>
              </controlPr>
            </control>
          </mc:Choice>
        </mc:AlternateContent>
        <mc:AlternateContent xmlns:mc="http://schemas.openxmlformats.org/markup-compatibility/2006">
          <mc:Choice Requires="x14">
            <control shapeId="108664" r:id="rId222" name="Check Box 3192">
              <controlPr defaultSize="0" autoFill="0" autoLine="0" autoPict="0">
                <anchor>
                  <from>
                    <xdr:col>0</xdr:col>
                    <xdr:colOff>0</xdr:colOff>
                    <xdr:row>152</xdr:row>
                    <xdr:rowOff>0</xdr:rowOff>
                  </from>
                  <to>
                    <xdr:col>5</xdr:col>
                    <xdr:colOff>0</xdr:colOff>
                    <xdr:row>153</xdr:row>
                    <xdr:rowOff>47625</xdr:rowOff>
                  </to>
                </anchor>
              </controlPr>
            </control>
          </mc:Choice>
        </mc:AlternateContent>
        <mc:AlternateContent xmlns:mc="http://schemas.openxmlformats.org/markup-compatibility/2006">
          <mc:Choice Requires="x14">
            <control shapeId="108665" r:id="rId223" name="Check Box 3193">
              <controlPr defaultSize="0" autoFill="0" autoLine="0" autoPict="0">
                <anchor>
                  <from>
                    <xdr:col>0</xdr:col>
                    <xdr:colOff>0</xdr:colOff>
                    <xdr:row>153</xdr:row>
                    <xdr:rowOff>0</xdr:rowOff>
                  </from>
                  <to>
                    <xdr:col>5</xdr:col>
                    <xdr:colOff>0</xdr:colOff>
                    <xdr:row>154</xdr:row>
                    <xdr:rowOff>47625</xdr:rowOff>
                  </to>
                </anchor>
              </controlPr>
            </control>
          </mc:Choice>
        </mc:AlternateContent>
        <mc:AlternateContent xmlns:mc="http://schemas.openxmlformats.org/markup-compatibility/2006">
          <mc:Choice Requires="x14">
            <control shapeId="108666" r:id="rId224" name="Check Box 3194">
              <controlPr defaultSize="0" autoFill="0" autoLine="0" autoPict="0">
                <anchor>
                  <from>
                    <xdr:col>0</xdr:col>
                    <xdr:colOff>0</xdr:colOff>
                    <xdr:row>154</xdr:row>
                    <xdr:rowOff>0</xdr:rowOff>
                  </from>
                  <to>
                    <xdr:col>5</xdr:col>
                    <xdr:colOff>0</xdr:colOff>
                    <xdr:row>155</xdr:row>
                    <xdr:rowOff>47625</xdr:rowOff>
                  </to>
                </anchor>
              </controlPr>
            </control>
          </mc:Choice>
        </mc:AlternateContent>
        <mc:AlternateContent xmlns:mc="http://schemas.openxmlformats.org/markup-compatibility/2006">
          <mc:Choice Requires="x14">
            <control shapeId="108667" r:id="rId225" name="Check Box 3195">
              <controlPr defaultSize="0" autoFill="0" autoLine="0" autoPict="0">
                <anchor>
                  <from>
                    <xdr:col>0</xdr:col>
                    <xdr:colOff>0</xdr:colOff>
                    <xdr:row>155</xdr:row>
                    <xdr:rowOff>0</xdr:rowOff>
                  </from>
                  <to>
                    <xdr:col>5</xdr:col>
                    <xdr:colOff>0</xdr:colOff>
                    <xdr:row>156</xdr:row>
                    <xdr:rowOff>47625</xdr:rowOff>
                  </to>
                </anchor>
              </controlPr>
            </control>
          </mc:Choice>
        </mc:AlternateContent>
        <mc:AlternateContent xmlns:mc="http://schemas.openxmlformats.org/markup-compatibility/2006">
          <mc:Choice Requires="x14">
            <control shapeId="108668" r:id="rId226" name="Check Box 3196">
              <controlPr defaultSize="0" autoFill="0" autoLine="0" autoPict="0">
                <anchor>
                  <from>
                    <xdr:col>0</xdr:col>
                    <xdr:colOff>0</xdr:colOff>
                    <xdr:row>156</xdr:row>
                    <xdr:rowOff>0</xdr:rowOff>
                  </from>
                  <to>
                    <xdr:col>5</xdr:col>
                    <xdr:colOff>0</xdr:colOff>
                    <xdr:row>157</xdr:row>
                    <xdr:rowOff>47625</xdr:rowOff>
                  </to>
                </anchor>
              </controlPr>
            </control>
          </mc:Choice>
        </mc:AlternateContent>
        <mc:AlternateContent xmlns:mc="http://schemas.openxmlformats.org/markup-compatibility/2006">
          <mc:Choice Requires="x14">
            <control shapeId="108669" r:id="rId227" name="Check Box 3197">
              <controlPr defaultSize="0" autoFill="0" autoLine="0" autoPict="0">
                <anchor>
                  <from>
                    <xdr:col>0</xdr:col>
                    <xdr:colOff>0</xdr:colOff>
                    <xdr:row>157</xdr:row>
                    <xdr:rowOff>0</xdr:rowOff>
                  </from>
                  <to>
                    <xdr:col>5</xdr:col>
                    <xdr:colOff>0</xdr:colOff>
                    <xdr:row>158</xdr:row>
                    <xdr:rowOff>47625</xdr:rowOff>
                  </to>
                </anchor>
              </controlPr>
            </control>
          </mc:Choice>
        </mc:AlternateContent>
        <mc:AlternateContent xmlns:mc="http://schemas.openxmlformats.org/markup-compatibility/2006">
          <mc:Choice Requires="x14">
            <control shapeId="108670" r:id="rId228" name="Check Box 3198">
              <controlPr defaultSize="0" autoFill="0" autoLine="0" autoPict="0">
                <anchor>
                  <from>
                    <xdr:col>0</xdr:col>
                    <xdr:colOff>0</xdr:colOff>
                    <xdr:row>158</xdr:row>
                    <xdr:rowOff>0</xdr:rowOff>
                  </from>
                  <to>
                    <xdr:col>5</xdr:col>
                    <xdr:colOff>0</xdr:colOff>
                    <xdr:row>159</xdr:row>
                    <xdr:rowOff>47625</xdr:rowOff>
                  </to>
                </anchor>
              </controlPr>
            </control>
          </mc:Choice>
        </mc:AlternateContent>
        <mc:AlternateContent xmlns:mc="http://schemas.openxmlformats.org/markup-compatibility/2006">
          <mc:Choice Requires="x14">
            <control shapeId="108671" r:id="rId229" name="Check Box 3199">
              <controlPr defaultSize="0" autoFill="0" autoLine="0" autoPict="0">
                <anchor>
                  <from>
                    <xdr:col>0</xdr:col>
                    <xdr:colOff>0</xdr:colOff>
                    <xdr:row>159</xdr:row>
                    <xdr:rowOff>0</xdr:rowOff>
                  </from>
                  <to>
                    <xdr:col>5</xdr:col>
                    <xdr:colOff>0</xdr:colOff>
                    <xdr:row>160</xdr:row>
                    <xdr:rowOff>47625</xdr:rowOff>
                  </to>
                </anchor>
              </controlPr>
            </control>
          </mc:Choice>
        </mc:AlternateContent>
        <mc:AlternateContent xmlns:mc="http://schemas.openxmlformats.org/markup-compatibility/2006">
          <mc:Choice Requires="x14">
            <control shapeId="108672" r:id="rId230" name="Check Box 3200">
              <controlPr defaultSize="0" autoFill="0" autoLine="0" autoPict="0">
                <anchor>
                  <from>
                    <xdr:col>0</xdr:col>
                    <xdr:colOff>0</xdr:colOff>
                    <xdr:row>160</xdr:row>
                    <xdr:rowOff>0</xdr:rowOff>
                  </from>
                  <to>
                    <xdr:col>5</xdr:col>
                    <xdr:colOff>0</xdr:colOff>
                    <xdr:row>161</xdr:row>
                    <xdr:rowOff>47625</xdr:rowOff>
                  </to>
                </anchor>
              </controlPr>
            </control>
          </mc:Choice>
        </mc:AlternateContent>
        <mc:AlternateContent xmlns:mc="http://schemas.openxmlformats.org/markup-compatibility/2006">
          <mc:Choice Requires="x14">
            <control shapeId="108673" r:id="rId231" name="Check Box 3201">
              <controlPr defaultSize="0" autoFill="0" autoLine="0" autoPict="0">
                <anchor>
                  <from>
                    <xdr:col>0</xdr:col>
                    <xdr:colOff>0</xdr:colOff>
                    <xdr:row>161</xdr:row>
                    <xdr:rowOff>0</xdr:rowOff>
                  </from>
                  <to>
                    <xdr:col>5</xdr:col>
                    <xdr:colOff>0</xdr:colOff>
                    <xdr:row>162</xdr:row>
                    <xdr:rowOff>47625</xdr:rowOff>
                  </to>
                </anchor>
              </controlPr>
            </control>
          </mc:Choice>
        </mc:AlternateContent>
        <mc:AlternateContent xmlns:mc="http://schemas.openxmlformats.org/markup-compatibility/2006">
          <mc:Choice Requires="x14">
            <control shapeId="108674" r:id="rId232" name="Check Box 3202">
              <controlPr defaultSize="0" autoFill="0" autoLine="0" autoPict="0">
                <anchor>
                  <from>
                    <xdr:col>0</xdr:col>
                    <xdr:colOff>0</xdr:colOff>
                    <xdr:row>162</xdr:row>
                    <xdr:rowOff>0</xdr:rowOff>
                  </from>
                  <to>
                    <xdr:col>5</xdr:col>
                    <xdr:colOff>0</xdr:colOff>
                    <xdr:row>163</xdr:row>
                    <xdr:rowOff>47625</xdr:rowOff>
                  </to>
                </anchor>
              </controlPr>
            </control>
          </mc:Choice>
        </mc:AlternateContent>
        <mc:AlternateContent xmlns:mc="http://schemas.openxmlformats.org/markup-compatibility/2006">
          <mc:Choice Requires="x14">
            <control shapeId="108675" r:id="rId233" name="Check Box 3203">
              <controlPr defaultSize="0" autoFill="0" autoLine="0" autoPict="0">
                <anchor>
                  <from>
                    <xdr:col>0</xdr:col>
                    <xdr:colOff>0</xdr:colOff>
                    <xdr:row>163</xdr:row>
                    <xdr:rowOff>0</xdr:rowOff>
                  </from>
                  <to>
                    <xdr:col>5</xdr:col>
                    <xdr:colOff>0</xdr:colOff>
                    <xdr:row>164</xdr:row>
                    <xdr:rowOff>47625</xdr:rowOff>
                  </to>
                </anchor>
              </controlPr>
            </control>
          </mc:Choice>
        </mc:AlternateContent>
        <mc:AlternateContent xmlns:mc="http://schemas.openxmlformats.org/markup-compatibility/2006">
          <mc:Choice Requires="x14">
            <control shapeId="108676" r:id="rId234" name="Check Box 3204">
              <controlPr defaultSize="0" autoFill="0" autoLine="0" autoPict="0">
                <anchor>
                  <from>
                    <xdr:col>0</xdr:col>
                    <xdr:colOff>0</xdr:colOff>
                    <xdr:row>164</xdr:row>
                    <xdr:rowOff>0</xdr:rowOff>
                  </from>
                  <to>
                    <xdr:col>5</xdr:col>
                    <xdr:colOff>0</xdr:colOff>
                    <xdr:row>165</xdr:row>
                    <xdr:rowOff>47625</xdr:rowOff>
                  </to>
                </anchor>
              </controlPr>
            </control>
          </mc:Choice>
        </mc:AlternateContent>
        <mc:AlternateContent xmlns:mc="http://schemas.openxmlformats.org/markup-compatibility/2006">
          <mc:Choice Requires="x14">
            <control shapeId="108677" r:id="rId235" name="Check Box 3205">
              <controlPr defaultSize="0" autoFill="0" autoLine="0" autoPict="0">
                <anchor>
                  <from>
                    <xdr:col>0</xdr:col>
                    <xdr:colOff>0</xdr:colOff>
                    <xdr:row>165</xdr:row>
                    <xdr:rowOff>0</xdr:rowOff>
                  </from>
                  <to>
                    <xdr:col>5</xdr:col>
                    <xdr:colOff>0</xdr:colOff>
                    <xdr:row>166</xdr:row>
                    <xdr:rowOff>47625</xdr:rowOff>
                  </to>
                </anchor>
              </controlPr>
            </control>
          </mc:Choice>
        </mc:AlternateContent>
        <mc:AlternateContent xmlns:mc="http://schemas.openxmlformats.org/markup-compatibility/2006">
          <mc:Choice Requires="x14">
            <control shapeId="108678" r:id="rId236" name="Check Box 3206">
              <controlPr defaultSize="0" autoFill="0" autoLine="0" autoPict="0">
                <anchor>
                  <from>
                    <xdr:col>0</xdr:col>
                    <xdr:colOff>0</xdr:colOff>
                    <xdr:row>166</xdr:row>
                    <xdr:rowOff>0</xdr:rowOff>
                  </from>
                  <to>
                    <xdr:col>5</xdr:col>
                    <xdr:colOff>0</xdr:colOff>
                    <xdr:row>167</xdr:row>
                    <xdr:rowOff>47625</xdr:rowOff>
                  </to>
                </anchor>
              </controlPr>
            </control>
          </mc:Choice>
        </mc:AlternateContent>
        <mc:AlternateContent xmlns:mc="http://schemas.openxmlformats.org/markup-compatibility/2006">
          <mc:Choice Requires="x14">
            <control shapeId="108679" r:id="rId237" name="Check Box 3207">
              <controlPr defaultSize="0" autoFill="0" autoLine="0" autoPict="0">
                <anchor>
                  <from>
                    <xdr:col>0</xdr:col>
                    <xdr:colOff>0</xdr:colOff>
                    <xdr:row>167</xdr:row>
                    <xdr:rowOff>0</xdr:rowOff>
                  </from>
                  <to>
                    <xdr:col>5</xdr:col>
                    <xdr:colOff>0</xdr:colOff>
                    <xdr:row>168</xdr:row>
                    <xdr:rowOff>47625</xdr:rowOff>
                  </to>
                </anchor>
              </controlPr>
            </control>
          </mc:Choice>
        </mc:AlternateContent>
        <mc:AlternateContent xmlns:mc="http://schemas.openxmlformats.org/markup-compatibility/2006">
          <mc:Choice Requires="x14">
            <control shapeId="108680" r:id="rId238" name="Check Box 3208">
              <controlPr defaultSize="0" autoFill="0" autoLine="0" autoPict="0">
                <anchor>
                  <from>
                    <xdr:col>0</xdr:col>
                    <xdr:colOff>0</xdr:colOff>
                    <xdr:row>168</xdr:row>
                    <xdr:rowOff>0</xdr:rowOff>
                  </from>
                  <to>
                    <xdr:col>5</xdr:col>
                    <xdr:colOff>0</xdr:colOff>
                    <xdr:row>169</xdr:row>
                    <xdr:rowOff>47625</xdr:rowOff>
                  </to>
                </anchor>
              </controlPr>
            </control>
          </mc:Choice>
        </mc:AlternateContent>
        <mc:AlternateContent xmlns:mc="http://schemas.openxmlformats.org/markup-compatibility/2006">
          <mc:Choice Requires="x14">
            <control shapeId="108681" r:id="rId239" name="Check Box 3209">
              <controlPr defaultSize="0" autoFill="0" autoLine="0" autoPict="0">
                <anchor>
                  <from>
                    <xdr:col>0</xdr:col>
                    <xdr:colOff>0</xdr:colOff>
                    <xdr:row>169</xdr:row>
                    <xdr:rowOff>0</xdr:rowOff>
                  </from>
                  <to>
                    <xdr:col>5</xdr:col>
                    <xdr:colOff>0</xdr:colOff>
                    <xdr:row>170</xdr:row>
                    <xdr:rowOff>47625</xdr:rowOff>
                  </to>
                </anchor>
              </controlPr>
            </control>
          </mc:Choice>
        </mc:AlternateContent>
        <mc:AlternateContent xmlns:mc="http://schemas.openxmlformats.org/markup-compatibility/2006">
          <mc:Choice Requires="x14">
            <control shapeId="108682" r:id="rId240" name="Check Box 3210">
              <controlPr defaultSize="0" autoFill="0" autoLine="0" autoPict="0">
                <anchor>
                  <from>
                    <xdr:col>0</xdr:col>
                    <xdr:colOff>0</xdr:colOff>
                    <xdr:row>170</xdr:row>
                    <xdr:rowOff>0</xdr:rowOff>
                  </from>
                  <to>
                    <xdr:col>5</xdr:col>
                    <xdr:colOff>0</xdr:colOff>
                    <xdr:row>171</xdr:row>
                    <xdr:rowOff>47625</xdr:rowOff>
                  </to>
                </anchor>
              </controlPr>
            </control>
          </mc:Choice>
        </mc:AlternateContent>
        <mc:AlternateContent xmlns:mc="http://schemas.openxmlformats.org/markup-compatibility/2006">
          <mc:Choice Requires="x14">
            <control shapeId="108683" r:id="rId241" name="Check Box 3211">
              <controlPr defaultSize="0" autoFill="0" autoLine="0" autoPict="0">
                <anchor>
                  <from>
                    <xdr:col>0</xdr:col>
                    <xdr:colOff>0</xdr:colOff>
                    <xdr:row>171</xdr:row>
                    <xdr:rowOff>0</xdr:rowOff>
                  </from>
                  <to>
                    <xdr:col>5</xdr:col>
                    <xdr:colOff>0</xdr:colOff>
                    <xdr:row>172</xdr:row>
                    <xdr:rowOff>47625</xdr:rowOff>
                  </to>
                </anchor>
              </controlPr>
            </control>
          </mc:Choice>
        </mc:AlternateContent>
        <mc:AlternateContent xmlns:mc="http://schemas.openxmlformats.org/markup-compatibility/2006">
          <mc:Choice Requires="x14">
            <control shapeId="108684" r:id="rId242" name="Check Box 3212">
              <controlPr defaultSize="0" autoFill="0" autoLine="0" autoPict="0">
                <anchor>
                  <from>
                    <xdr:col>0</xdr:col>
                    <xdr:colOff>0</xdr:colOff>
                    <xdr:row>172</xdr:row>
                    <xdr:rowOff>0</xdr:rowOff>
                  </from>
                  <to>
                    <xdr:col>5</xdr:col>
                    <xdr:colOff>0</xdr:colOff>
                    <xdr:row>173</xdr:row>
                    <xdr:rowOff>47625</xdr:rowOff>
                  </to>
                </anchor>
              </controlPr>
            </control>
          </mc:Choice>
        </mc:AlternateContent>
        <mc:AlternateContent xmlns:mc="http://schemas.openxmlformats.org/markup-compatibility/2006">
          <mc:Choice Requires="x14">
            <control shapeId="108685" r:id="rId243" name="Check Box 3213">
              <controlPr defaultSize="0" autoFill="0" autoLine="0" autoPict="0">
                <anchor>
                  <from>
                    <xdr:col>0</xdr:col>
                    <xdr:colOff>0</xdr:colOff>
                    <xdr:row>173</xdr:row>
                    <xdr:rowOff>0</xdr:rowOff>
                  </from>
                  <to>
                    <xdr:col>5</xdr:col>
                    <xdr:colOff>0</xdr:colOff>
                    <xdr:row>174</xdr:row>
                    <xdr:rowOff>47625</xdr:rowOff>
                  </to>
                </anchor>
              </controlPr>
            </control>
          </mc:Choice>
        </mc:AlternateContent>
        <mc:AlternateContent xmlns:mc="http://schemas.openxmlformats.org/markup-compatibility/2006">
          <mc:Choice Requires="x14">
            <control shapeId="108686" r:id="rId244" name="Check Box 3214">
              <controlPr defaultSize="0" autoFill="0" autoLine="0" autoPict="0">
                <anchor>
                  <from>
                    <xdr:col>0</xdr:col>
                    <xdr:colOff>0</xdr:colOff>
                    <xdr:row>174</xdr:row>
                    <xdr:rowOff>0</xdr:rowOff>
                  </from>
                  <to>
                    <xdr:col>5</xdr:col>
                    <xdr:colOff>0</xdr:colOff>
                    <xdr:row>175</xdr:row>
                    <xdr:rowOff>47625</xdr:rowOff>
                  </to>
                </anchor>
              </controlPr>
            </control>
          </mc:Choice>
        </mc:AlternateContent>
        <mc:AlternateContent xmlns:mc="http://schemas.openxmlformats.org/markup-compatibility/2006">
          <mc:Choice Requires="x14">
            <control shapeId="108687" r:id="rId245" name="Check Box 3215">
              <controlPr defaultSize="0" autoFill="0" autoLine="0" autoPict="0">
                <anchor>
                  <from>
                    <xdr:col>0</xdr:col>
                    <xdr:colOff>0</xdr:colOff>
                    <xdr:row>175</xdr:row>
                    <xdr:rowOff>0</xdr:rowOff>
                  </from>
                  <to>
                    <xdr:col>5</xdr:col>
                    <xdr:colOff>0</xdr:colOff>
                    <xdr:row>176</xdr:row>
                    <xdr:rowOff>47625</xdr:rowOff>
                  </to>
                </anchor>
              </controlPr>
            </control>
          </mc:Choice>
        </mc:AlternateContent>
        <mc:AlternateContent xmlns:mc="http://schemas.openxmlformats.org/markup-compatibility/2006">
          <mc:Choice Requires="x14">
            <control shapeId="108688" r:id="rId246" name="Check Box 3216">
              <controlPr defaultSize="0" autoFill="0" autoLine="0" autoPict="0">
                <anchor>
                  <from>
                    <xdr:col>0</xdr:col>
                    <xdr:colOff>0</xdr:colOff>
                    <xdr:row>176</xdr:row>
                    <xdr:rowOff>0</xdr:rowOff>
                  </from>
                  <to>
                    <xdr:col>5</xdr:col>
                    <xdr:colOff>0</xdr:colOff>
                    <xdr:row>177</xdr:row>
                    <xdr:rowOff>47625</xdr:rowOff>
                  </to>
                </anchor>
              </controlPr>
            </control>
          </mc:Choice>
        </mc:AlternateContent>
        <mc:AlternateContent xmlns:mc="http://schemas.openxmlformats.org/markup-compatibility/2006">
          <mc:Choice Requires="x14">
            <control shapeId="108689" r:id="rId247" name="Check Box 3217">
              <controlPr defaultSize="0" autoFill="0" autoLine="0" autoPict="0">
                <anchor>
                  <from>
                    <xdr:col>0</xdr:col>
                    <xdr:colOff>0</xdr:colOff>
                    <xdr:row>177</xdr:row>
                    <xdr:rowOff>0</xdr:rowOff>
                  </from>
                  <to>
                    <xdr:col>5</xdr:col>
                    <xdr:colOff>0</xdr:colOff>
                    <xdr:row>178</xdr:row>
                    <xdr:rowOff>47625</xdr:rowOff>
                  </to>
                </anchor>
              </controlPr>
            </control>
          </mc:Choice>
        </mc:AlternateContent>
        <mc:AlternateContent xmlns:mc="http://schemas.openxmlformats.org/markup-compatibility/2006">
          <mc:Choice Requires="x14">
            <control shapeId="108690" r:id="rId248" name="Check Box 3218">
              <controlPr defaultSize="0" autoFill="0" autoLine="0" autoPict="0">
                <anchor>
                  <from>
                    <xdr:col>0</xdr:col>
                    <xdr:colOff>0</xdr:colOff>
                    <xdr:row>178</xdr:row>
                    <xdr:rowOff>0</xdr:rowOff>
                  </from>
                  <to>
                    <xdr:col>5</xdr:col>
                    <xdr:colOff>0</xdr:colOff>
                    <xdr:row>179</xdr:row>
                    <xdr:rowOff>47625</xdr:rowOff>
                  </to>
                </anchor>
              </controlPr>
            </control>
          </mc:Choice>
        </mc:AlternateContent>
        <mc:AlternateContent xmlns:mc="http://schemas.openxmlformats.org/markup-compatibility/2006">
          <mc:Choice Requires="x14">
            <control shapeId="108691" r:id="rId249" name="Check Box 3219">
              <controlPr defaultSize="0" autoFill="0" autoLine="0" autoPict="0">
                <anchor>
                  <from>
                    <xdr:col>0</xdr:col>
                    <xdr:colOff>0</xdr:colOff>
                    <xdr:row>179</xdr:row>
                    <xdr:rowOff>0</xdr:rowOff>
                  </from>
                  <to>
                    <xdr:col>5</xdr:col>
                    <xdr:colOff>0</xdr:colOff>
                    <xdr:row>180</xdr:row>
                    <xdr:rowOff>47625</xdr:rowOff>
                  </to>
                </anchor>
              </controlPr>
            </control>
          </mc:Choice>
        </mc:AlternateContent>
        <mc:AlternateContent xmlns:mc="http://schemas.openxmlformats.org/markup-compatibility/2006">
          <mc:Choice Requires="x14">
            <control shapeId="108692" r:id="rId250" name="Check Box 3220">
              <controlPr defaultSize="0" autoFill="0" autoLine="0" autoPict="0">
                <anchor>
                  <from>
                    <xdr:col>0</xdr:col>
                    <xdr:colOff>0</xdr:colOff>
                    <xdr:row>180</xdr:row>
                    <xdr:rowOff>0</xdr:rowOff>
                  </from>
                  <to>
                    <xdr:col>5</xdr:col>
                    <xdr:colOff>0</xdr:colOff>
                    <xdr:row>181</xdr:row>
                    <xdr:rowOff>47625</xdr:rowOff>
                  </to>
                </anchor>
              </controlPr>
            </control>
          </mc:Choice>
        </mc:AlternateContent>
        <mc:AlternateContent xmlns:mc="http://schemas.openxmlformats.org/markup-compatibility/2006">
          <mc:Choice Requires="x14">
            <control shapeId="108693" r:id="rId251" name="Check Box 3221">
              <controlPr defaultSize="0" autoFill="0" autoLine="0" autoPict="0">
                <anchor>
                  <from>
                    <xdr:col>0</xdr:col>
                    <xdr:colOff>0</xdr:colOff>
                    <xdr:row>181</xdr:row>
                    <xdr:rowOff>0</xdr:rowOff>
                  </from>
                  <to>
                    <xdr:col>5</xdr:col>
                    <xdr:colOff>0</xdr:colOff>
                    <xdr:row>182</xdr:row>
                    <xdr:rowOff>47625</xdr:rowOff>
                  </to>
                </anchor>
              </controlPr>
            </control>
          </mc:Choice>
        </mc:AlternateContent>
        <mc:AlternateContent xmlns:mc="http://schemas.openxmlformats.org/markup-compatibility/2006">
          <mc:Choice Requires="x14">
            <control shapeId="108694" r:id="rId252" name="Check Box 3222">
              <controlPr defaultSize="0" autoFill="0" autoLine="0" autoPict="0">
                <anchor>
                  <from>
                    <xdr:col>0</xdr:col>
                    <xdr:colOff>0</xdr:colOff>
                    <xdr:row>182</xdr:row>
                    <xdr:rowOff>0</xdr:rowOff>
                  </from>
                  <to>
                    <xdr:col>5</xdr:col>
                    <xdr:colOff>0</xdr:colOff>
                    <xdr:row>183</xdr:row>
                    <xdr:rowOff>47625</xdr:rowOff>
                  </to>
                </anchor>
              </controlPr>
            </control>
          </mc:Choice>
        </mc:AlternateContent>
        <mc:AlternateContent xmlns:mc="http://schemas.openxmlformats.org/markup-compatibility/2006">
          <mc:Choice Requires="x14">
            <control shapeId="108695" r:id="rId253" name="Check Box 3223">
              <controlPr defaultSize="0" autoFill="0" autoLine="0" autoPict="0">
                <anchor>
                  <from>
                    <xdr:col>0</xdr:col>
                    <xdr:colOff>0</xdr:colOff>
                    <xdr:row>183</xdr:row>
                    <xdr:rowOff>0</xdr:rowOff>
                  </from>
                  <to>
                    <xdr:col>5</xdr:col>
                    <xdr:colOff>0</xdr:colOff>
                    <xdr:row>184</xdr:row>
                    <xdr:rowOff>47625</xdr:rowOff>
                  </to>
                </anchor>
              </controlPr>
            </control>
          </mc:Choice>
        </mc:AlternateContent>
        <mc:AlternateContent xmlns:mc="http://schemas.openxmlformats.org/markup-compatibility/2006">
          <mc:Choice Requires="x14">
            <control shapeId="108696" r:id="rId254" name="Check Box 3224">
              <controlPr defaultSize="0" autoFill="0" autoLine="0" autoPict="0">
                <anchor>
                  <from>
                    <xdr:col>0</xdr:col>
                    <xdr:colOff>0</xdr:colOff>
                    <xdr:row>184</xdr:row>
                    <xdr:rowOff>0</xdr:rowOff>
                  </from>
                  <to>
                    <xdr:col>5</xdr:col>
                    <xdr:colOff>0</xdr:colOff>
                    <xdr:row>185</xdr:row>
                    <xdr:rowOff>47625</xdr:rowOff>
                  </to>
                </anchor>
              </controlPr>
            </control>
          </mc:Choice>
        </mc:AlternateContent>
        <mc:AlternateContent xmlns:mc="http://schemas.openxmlformats.org/markup-compatibility/2006">
          <mc:Choice Requires="x14">
            <control shapeId="108697" r:id="rId255" name="Check Box 3225">
              <controlPr defaultSize="0" autoFill="0" autoLine="0" autoPict="0">
                <anchor>
                  <from>
                    <xdr:col>0</xdr:col>
                    <xdr:colOff>0</xdr:colOff>
                    <xdr:row>185</xdr:row>
                    <xdr:rowOff>0</xdr:rowOff>
                  </from>
                  <to>
                    <xdr:col>5</xdr:col>
                    <xdr:colOff>0</xdr:colOff>
                    <xdr:row>186</xdr:row>
                    <xdr:rowOff>47625</xdr:rowOff>
                  </to>
                </anchor>
              </controlPr>
            </control>
          </mc:Choice>
        </mc:AlternateContent>
        <mc:AlternateContent xmlns:mc="http://schemas.openxmlformats.org/markup-compatibility/2006">
          <mc:Choice Requires="x14">
            <control shapeId="108698" r:id="rId256" name="Check Box 3226">
              <controlPr defaultSize="0" autoFill="0" autoLine="0" autoPict="0">
                <anchor>
                  <from>
                    <xdr:col>0</xdr:col>
                    <xdr:colOff>0</xdr:colOff>
                    <xdr:row>186</xdr:row>
                    <xdr:rowOff>0</xdr:rowOff>
                  </from>
                  <to>
                    <xdr:col>5</xdr:col>
                    <xdr:colOff>0</xdr:colOff>
                    <xdr:row>187</xdr:row>
                    <xdr:rowOff>47625</xdr:rowOff>
                  </to>
                </anchor>
              </controlPr>
            </control>
          </mc:Choice>
        </mc:AlternateContent>
        <mc:AlternateContent xmlns:mc="http://schemas.openxmlformats.org/markup-compatibility/2006">
          <mc:Choice Requires="x14">
            <control shapeId="108699" r:id="rId257" name="Check Box 3227">
              <controlPr defaultSize="0" autoFill="0" autoLine="0" autoPict="0">
                <anchor>
                  <from>
                    <xdr:col>0</xdr:col>
                    <xdr:colOff>0</xdr:colOff>
                    <xdr:row>187</xdr:row>
                    <xdr:rowOff>0</xdr:rowOff>
                  </from>
                  <to>
                    <xdr:col>5</xdr:col>
                    <xdr:colOff>0</xdr:colOff>
                    <xdr:row>188</xdr:row>
                    <xdr:rowOff>47625</xdr:rowOff>
                  </to>
                </anchor>
              </controlPr>
            </control>
          </mc:Choice>
        </mc:AlternateContent>
        <mc:AlternateContent xmlns:mc="http://schemas.openxmlformats.org/markup-compatibility/2006">
          <mc:Choice Requires="x14">
            <control shapeId="108700" r:id="rId258" name="Check Box 3228">
              <controlPr defaultSize="0" autoFill="0" autoLine="0" autoPict="0">
                <anchor>
                  <from>
                    <xdr:col>0</xdr:col>
                    <xdr:colOff>0</xdr:colOff>
                    <xdr:row>188</xdr:row>
                    <xdr:rowOff>0</xdr:rowOff>
                  </from>
                  <to>
                    <xdr:col>5</xdr:col>
                    <xdr:colOff>0</xdr:colOff>
                    <xdr:row>189</xdr:row>
                    <xdr:rowOff>47625</xdr:rowOff>
                  </to>
                </anchor>
              </controlPr>
            </control>
          </mc:Choice>
        </mc:AlternateContent>
        <mc:AlternateContent xmlns:mc="http://schemas.openxmlformats.org/markup-compatibility/2006">
          <mc:Choice Requires="x14">
            <control shapeId="108701" r:id="rId259" name="Check Box 3229">
              <controlPr defaultSize="0" autoFill="0" autoLine="0" autoPict="0">
                <anchor>
                  <from>
                    <xdr:col>0</xdr:col>
                    <xdr:colOff>0</xdr:colOff>
                    <xdr:row>189</xdr:row>
                    <xdr:rowOff>0</xdr:rowOff>
                  </from>
                  <to>
                    <xdr:col>5</xdr:col>
                    <xdr:colOff>0</xdr:colOff>
                    <xdr:row>190</xdr:row>
                    <xdr:rowOff>47625</xdr:rowOff>
                  </to>
                </anchor>
              </controlPr>
            </control>
          </mc:Choice>
        </mc:AlternateContent>
        <mc:AlternateContent xmlns:mc="http://schemas.openxmlformats.org/markup-compatibility/2006">
          <mc:Choice Requires="x14">
            <control shapeId="108702" r:id="rId260" name="Check Box 3230">
              <controlPr defaultSize="0" autoFill="0" autoLine="0" autoPict="0">
                <anchor>
                  <from>
                    <xdr:col>0</xdr:col>
                    <xdr:colOff>0</xdr:colOff>
                    <xdr:row>190</xdr:row>
                    <xdr:rowOff>0</xdr:rowOff>
                  </from>
                  <to>
                    <xdr:col>5</xdr:col>
                    <xdr:colOff>0</xdr:colOff>
                    <xdr:row>191</xdr:row>
                    <xdr:rowOff>47625</xdr:rowOff>
                  </to>
                </anchor>
              </controlPr>
            </control>
          </mc:Choice>
        </mc:AlternateContent>
        <mc:AlternateContent xmlns:mc="http://schemas.openxmlformats.org/markup-compatibility/2006">
          <mc:Choice Requires="x14">
            <control shapeId="108703" r:id="rId261" name="Check Box 3231">
              <controlPr defaultSize="0" autoFill="0" autoLine="0" autoPict="0">
                <anchor>
                  <from>
                    <xdr:col>0</xdr:col>
                    <xdr:colOff>0</xdr:colOff>
                    <xdr:row>191</xdr:row>
                    <xdr:rowOff>0</xdr:rowOff>
                  </from>
                  <to>
                    <xdr:col>5</xdr:col>
                    <xdr:colOff>0</xdr:colOff>
                    <xdr:row>192</xdr:row>
                    <xdr:rowOff>47625</xdr:rowOff>
                  </to>
                </anchor>
              </controlPr>
            </control>
          </mc:Choice>
        </mc:AlternateContent>
        <mc:AlternateContent xmlns:mc="http://schemas.openxmlformats.org/markup-compatibility/2006">
          <mc:Choice Requires="x14">
            <control shapeId="108704" r:id="rId262" name="Check Box 3232">
              <controlPr defaultSize="0" autoFill="0" autoLine="0" autoPict="0">
                <anchor>
                  <from>
                    <xdr:col>0</xdr:col>
                    <xdr:colOff>0</xdr:colOff>
                    <xdr:row>192</xdr:row>
                    <xdr:rowOff>0</xdr:rowOff>
                  </from>
                  <to>
                    <xdr:col>5</xdr:col>
                    <xdr:colOff>0</xdr:colOff>
                    <xdr:row>193</xdr:row>
                    <xdr:rowOff>47625</xdr:rowOff>
                  </to>
                </anchor>
              </controlPr>
            </control>
          </mc:Choice>
        </mc:AlternateContent>
        <mc:AlternateContent xmlns:mc="http://schemas.openxmlformats.org/markup-compatibility/2006">
          <mc:Choice Requires="x14">
            <control shapeId="108705" r:id="rId263" name="Check Box 3233">
              <controlPr defaultSize="0" autoFill="0" autoLine="0" autoPict="0">
                <anchor>
                  <from>
                    <xdr:col>0</xdr:col>
                    <xdr:colOff>0</xdr:colOff>
                    <xdr:row>193</xdr:row>
                    <xdr:rowOff>0</xdr:rowOff>
                  </from>
                  <to>
                    <xdr:col>5</xdr:col>
                    <xdr:colOff>0</xdr:colOff>
                    <xdr:row>194</xdr:row>
                    <xdr:rowOff>47625</xdr:rowOff>
                  </to>
                </anchor>
              </controlPr>
            </control>
          </mc:Choice>
        </mc:AlternateContent>
        <mc:AlternateContent xmlns:mc="http://schemas.openxmlformats.org/markup-compatibility/2006">
          <mc:Choice Requires="x14">
            <control shapeId="108706" r:id="rId264" name="Check Box 3234">
              <controlPr defaultSize="0" autoFill="0" autoLine="0" autoPict="0">
                <anchor>
                  <from>
                    <xdr:col>0</xdr:col>
                    <xdr:colOff>0</xdr:colOff>
                    <xdr:row>194</xdr:row>
                    <xdr:rowOff>0</xdr:rowOff>
                  </from>
                  <to>
                    <xdr:col>5</xdr:col>
                    <xdr:colOff>0</xdr:colOff>
                    <xdr:row>195</xdr:row>
                    <xdr:rowOff>47625</xdr:rowOff>
                  </to>
                </anchor>
              </controlPr>
            </control>
          </mc:Choice>
        </mc:AlternateContent>
        <mc:AlternateContent xmlns:mc="http://schemas.openxmlformats.org/markup-compatibility/2006">
          <mc:Choice Requires="x14">
            <control shapeId="108707" r:id="rId265" name="Check Box 3235">
              <controlPr defaultSize="0" autoFill="0" autoLine="0" autoPict="0">
                <anchor>
                  <from>
                    <xdr:col>0</xdr:col>
                    <xdr:colOff>0</xdr:colOff>
                    <xdr:row>195</xdr:row>
                    <xdr:rowOff>0</xdr:rowOff>
                  </from>
                  <to>
                    <xdr:col>5</xdr:col>
                    <xdr:colOff>0</xdr:colOff>
                    <xdr:row>196</xdr:row>
                    <xdr:rowOff>47625</xdr:rowOff>
                  </to>
                </anchor>
              </controlPr>
            </control>
          </mc:Choice>
        </mc:AlternateContent>
        <mc:AlternateContent xmlns:mc="http://schemas.openxmlformats.org/markup-compatibility/2006">
          <mc:Choice Requires="x14">
            <control shapeId="108708" r:id="rId266" name="Check Box 3236">
              <controlPr defaultSize="0" autoFill="0" autoLine="0" autoPict="0">
                <anchor>
                  <from>
                    <xdr:col>0</xdr:col>
                    <xdr:colOff>0</xdr:colOff>
                    <xdr:row>196</xdr:row>
                    <xdr:rowOff>0</xdr:rowOff>
                  </from>
                  <to>
                    <xdr:col>5</xdr:col>
                    <xdr:colOff>0</xdr:colOff>
                    <xdr:row>197</xdr:row>
                    <xdr:rowOff>47625</xdr:rowOff>
                  </to>
                </anchor>
              </controlPr>
            </control>
          </mc:Choice>
        </mc:AlternateContent>
        <mc:AlternateContent xmlns:mc="http://schemas.openxmlformats.org/markup-compatibility/2006">
          <mc:Choice Requires="x14">
            <control shapeId="108709" r:id="rId267" name="Check Box 3237">
              <controlPr defaultSize="0" autoFill="0" autoLine="0" autoPict="0">
                <anchor>
                  <from>
                    <xdr:col>0</xdr:col>
                    <xdr:colOff>0</xdr:colOff>
                    <xdr:row>197</xdr:row>
                    <xdr:rowOff>0</xdr:rowOff>
                  </from>
                  <to>
                    <xdr:col>5</xdr:col>
                    <xdr:colOff>0</xdr:colOff>
                    <xdr:row>198</xdr:row>
                    <xdr:rowOff>47625</xdr:rowOff>
                  </to>
                </anchor>
              </controlPr>
            </control>
          </mc:Choice>
        </mc:AlternateContent>
        <mc:AlternateContent xmlns:mc="http://schemas.openxmlformats.org/markup-compatibility/2006">
          <mc:Choice Requires="x14">
            <control shapeId="108710" r:id="rId268" name="Check Box 3238">
              <controlPr defaultSize="0" autoFill="0" autoLine="0" autoPict="0">
                <anchor>
                  <from>
                    <xdr:col>0</xdr:col>
                    <xdr:colOff>0</xdr:colOff>
                    <xdr:row>198</xdr:row>
                    <xdr:rowOff>0</xdr:rowOff>
                  </from>
                  <to>
                    <xdr:col>5</xdr:col>
                    <xdr:colOff>0</xdr:colOff>
                    <xdr:row>199</xdr:row>
                    <xdr:rowOff>47625</xdr:rowOff>
                  </to>
                </anchor>
              </controlPr>
            </control>
          </mc:Choice>
        </mc:AlternateContent>
        <mc:AlternateContent xmlns:mc="http://schemas.openxmlformats.org/markup-compatibility/2006">
          <mc:Choice Requires="x14">
            <control shapeId="108711" r:id="rId269" name="Check Box 3239">
              <controlPr defaultSize="0" autoFill="0" autoLine="0" autoPict="0">
                <anchor>
                  <from>
                    <xdr:col>0</xdr:col>
                    <xdr:colOff>0</xdr:colOff>
                    <xdr:row>199</xdr:row>
                    <xdr:rowOff>0</xdr:rowOff>
                  </from>
                  <to>
                    <xdr:col>5</xdr:col>
                    <xdr:colOff>0</xdr:colOff>
                    <xdr:row>200</xdr:row>
                    <xdr:rowOff>47625</xdr:rowOff>
                  </to>
                </anchor>
              </controlPr>
            </control>
          </mc:Choice>
        </mc:AlternateContent>
        <mc:AlternateContent xmlns:mc="http://schemas.openxmlformats.org/markup-compatibility/2006">
          <mc:Choice Requires="x14">
            <control shapeId="108712" r:id="rId270" name="Check Box 3240">
              <controlPr defaultSize="0" autoFill="0" autoLine="0" autoPict="0">
                <anchor>
                  <from>
                    <xdr:col>0</xdr:col>
                    <xdr:colOff>0</xdr:colOff>
                    <xdr:row>200</xdr:row>
                    <xdr:rowOff>0</xdr:rowOff>
                  </from>
                  <to>
                    <xdr:col>5</xdr:col>
                    <xdr:colOff>0</xdr:colOff>
                    <xdr:row>201</xdr:row>
                    <xdr:rowOff>47625</xdr:rowOff>
                  </to>
                </anchor>
              </controlPr>
            </control>
          </mc:Choice>
        </mc:AlternateContent>
        <mc:AlternateContent xmlns:mc="http://schemas.openxmlformats.org/markup-compatibility/2006">
          <mc:Choice Requires="x14">
            <control shapeId="108713" r:id="rId271" name="Check Box 3241">
              <controlPr defaultSize="0" autoFill="0" autoLine="0" autoPict="0">
                <anchor>
                  <from>
                    <xdr:col>0</xdr:col>
                    <xdr:colOff>0</xdr:colOff>
                    <xdr:row>201</xdr:row>
                    <xdr:rowOff>0</xdr:rowOff>
                  </from>
                  <to>
                    <xdr:col>5</xdr:col>
                    <xdr:colOff>0</xdr:colOff>
                    <xdr:row>202</xdr:row>
                    <xdr:rowOff>47625</xdr:rowOff>
                  </to>
                </anchor>
              </controlPr>
            </control>
          </mc:Choice>
        </mc:AlternateContent>
        <mc:AlternateContent xmlns:mc="http://schemas.openxmlformats.org/markup-compatibility/2006">
          <mc:Choice Requires="x14">
            <control shapeId="108714" r:id="rId272" name="Check Box 3242">
              <controlPr defaultSize="0" autoFill="0" autoLine="0" autoPict="0">
                <anchor>
                  <from>
                    <xdr:col>0</xdr:col>
                    <xdr:colOff>0</xdr:colOff>
                    <xdr:row>202</xdr:row>
                    <xdr:rowOff>0</xdr:rowOff>
                  </from>
                  <to>
                    <xdr:col>5</xdr:col>
                    <xdr:colOff>0</xdr:colOff>
                    <xdr:row>203</xdr:row>
                    <xdr:rowOff>47625</xdr:rowOff>
                  </to>
                </anchor>
              </controlPr>
            </control>
          </mc:Choice>
        </mc:AlternateContent>
        <mc:AlternateContent xmlns:mc="http://schemas.openxmlformats.org/markup-compatibility/2006">
          <mc:Choice Requires="x14">
            <control shapeId="108715" r:id="rId273" name="Check Box 3243">
              <controlPr defaultSize="0" autoFill="0" autoLine="0" autoPict="0">
                <anchor>
                  <from>
                    <xdr:col>0</xdr:col>
                    <xdr:colOff>0</xdr:colOff>
                    <xdr:row>203</xdr:row>
                    <xdr:rowOff>0</xdr:rowOff>
                  </from>
                  <to>
                    <xdr:col>5</xdr:col>
                    <xdr:colOff>0</xdr:colOff>
                    <xdr:row>204</xdr:row>
                    <xdr:rowOff>47625</xdr:rowOff>
                  </to>
                </anchor>
              </controlPr>
            </control>
          </mc:Choice>
        </mc:AlternateContent>
        <mc:AlternateContent xmlns:mc="http://schemas.openxmlformats.org/markup-compatibility/2006">
          <mc:Choice Requires="x14">
            <control shapeId="108716" r:id="rId274" name="Check Box 3244">
              <controlPr defaultSize="0" autoFill="0" autoLine="0" autoPict="0">
                <anchor>
                  <from>
                    <xdr:col>0</xdr:col>
                    <xdr:colOff>0</xdr:colOff>
                    <xdr:row>204</xdr:row>
                    <xdr:rowOff>0</xdr:rowOff>
                  </from>
                  <to>
                    <xdr:col>5</xdr:col>
                    <xdr:colOff>0</xdr:colOff>
                    <xdr:row>205</xdr:row>
                    <xdr:rowOff>47625</xdr:rowOff>
                  </to>
                </anchor>
              </controlPr>
            </control>
          </mc:Choice>
        </mc:AlternateContent>
        <mc:AlternateContent xmlns:mc="http://schemas.openxmlformats.org/markup-compatibility/2006">
          <mc:Choice Requires="x14">
            <control shapeId="108717" r:id="rId275" name="Check Box 3245">
              <controlPr defaultSize="0" autoFill="0" autoLine="0" autoPict="0">
                <anchor>
                  <from>
                    <xdr:col>0</xdr:col>
                    <xdr:colOff>0</xdr:colOff>
                    <xdr:row>205</xdr:row>
                    <xdr:rowOff>0</xdr:rowOff>
                  </from>
                  <to>
                    <xdr:col>5</xdr:col>
                    <xdr:colOff>0</xdr:colOff>
                    <xdr:row>206</xdr:row>
                    <xdr:rowOff>47625</xdr:rowOff>
                  </to>
                </anchor>
              </controlPr>
            </control>
          </mc:Choice>
        </mc:AlternateContent>
        <mc:AlternateContent xmlns:mc="http://schemas.openxmlformats.org/markup-compatibility/2006">
          <mc:Choice Requires="x14">
            <control shapeId="108718" r:id="rId276" name="Check Box 3246">
              <controlPr defaultSize="0" autoFill="0" autoLine="0" autoPict="0">
                <anchor>
                  <from>
                    <xdr:col>0</xdr:col>
                    <xdr:colOff>0</xdr:colOff>
                    <xdr:row>206</xdr:row>
                    <xdr:rowOff>0</xdr:rowOff>
                  </from>
                  <to>
                    <xdr:col>5</xdr:col>
                    <xdr:colOff>0</xdr:colOff>
                    <xdr:row>207</xdr:row>
                    <xdr:rowOff>47625</xdr:rowOff>
                  </to>
                </anchor>
              </controlPr>
            </control>
          </mc:Choice>
        </mc:AlternateContent>
        <mc:AlternateContent xmlns:mc="http://schemas.openxmlformats.org/markup-compatibility/2006">
          <mc:Choice Requires="x14">
            <control shapeId="108719" r:id="rId277" name="Check Box 3247">
              <controlPr defaultSize="0" autoFill="0" autoLine="0" autoPict="0">
                <anchor>
                  <from>
                    <xdr:col>0</xdr:col>
                    <xdr:colOff>0</xdr:colOff>
                    <xdr:row>207</xdr:row>
                    <xdr:rowOff>0</xdr:rowOff>
                  </from>
                  <to>
                    <xdr:col>5</xdr:col>
                    <xdr:colOff>0</xdr:colOff>
                    <xdr:row>208</xdr:row>
                    <xdr:rowOff>47625</xdr:rowOff>
                  </to>
                </anchor>
              </controlPr>
            </control>
          </mc:Choice>
        </mc:AlternateContent>
        <mc:AlternateContent xmlns:mc="http://schemas.openxmlformats.org/markup-compatibility/2006">
          <mc:Choice Requires="x14">
            <control shapeId="108720" r:id="rId278" name="Check Box 3248">
              <controlPr defaultSize="0" autoFill="0" autoLine="0" autoPict="0">
                <anchor>
                  <from>
                    <xdr:col>0</xdr:col>
                    <xdr:colOff>0</xdr:colOff>
                    <xdr:row>208</xdr:row>
                    <xdr:rowOff>0</xdr:rowOff>
                  </from>
                  <to>
                    <xdr:col>5</xdr:col>
                    <xdr:colOff>0</xdr:colOff>
                    <xdr:row>209</xdr:row>
                    <xdr:rowOff>47625</xdr:rowOff>
                  </to>
                </anchor>
              </controlPr>
            </control>
          </mc:Choice>
        </mc:AlternateContent>
        <mc:AlternateContent xmlns:mc="http://schemas.openxmlformats.org/markup-compatibility/2006">
          <mc:Choice Requires="x14">
            <control shapeId="108721" r:id="rId279" name="Check Box 3249">
              <controlPr defaultSize="0" autoFill="0" autoLine="0" autoPict="0">
                <anchor>
                  <from>
                    <xdr:col>0</xdr:col>
                    <xdr:colOff>0</xdr:colOff>
                    <xdr:row>209</xdr:row>
                    <xdr:rowOff>0</xdr:rowOff>
                  </from>
                  <to>
                    <xdr:col>5</xdr:col>
                    <xdr:colOff>0</xdr:colOff>
                    <xdr:row>210</xdr:row>
                    <xdr:rowOff>47625</xdr:rowOff>
                  </to>
                </anchor>
              </controlPr>
            </control>
          </mc:Choice>
        </mc:AlternateContent>
        <mc:AlternateContent xmlns:mc="http://schemas.openxmlformats.org/markup-compatibility/2006">
          <mc:Choice Requires="x14">
            <control shapeId="108722" r:id="rId280" name="Check Box 3250">
              <controlPr defaultSize="0" autoFill="0" autoLine="0" autoPict="0">
                <anchor>
                  <from>
                    <xdr:col>0</xdr:col>
                    <xdr:colOff>0</xdr:colOff>
                    <xdr:row>210</xdr:row>
                    <xdr:rowOff>0</xdr:rowOff>
                  </from>
                  <to>
                    <xdr:col>5</xdr:col>
                    <xdr:colOff>0</xdr:colOff>
                    <xdr:row>211</xdr:row>
                    <xdr:rowOff>47625</xdr:rowOff>
                  </to>
                </anchor>
              </controlPr>
            </control>
          </mc:Choice>
        </mc:AlternateContent>
        <mc:AlternateContent xmlns:mc="http://schemas.openxmlformats.org/markup-compatibility/2006">
          <mc:Choice Requires="x14">
            <control shapeId="108723" r:id="rId281" name="Check Box 3251">
              <controlPr defaultSize="0" autoFill="0" autoLine="0" autoPict="0">
                <anchor>
                  <from>
                    <xdr:col>0</xdr:col>
                    <xdr:colOff>0</xdr:colOff>
                    <xdr:row>211</xdr:row>
                    <xdr:rowOff>0</xdr:rowOff>
                  </from>
                  <to>
                    <xdr:col>5</xdr:col>
                    <xdr:colOff>0</xdr:colOff>
                    <xdr:row>212</xdr:row>
                    <xdr:rowOff>47625</xdr:rowOff>
                  </to>
                </anchor>
              </controlPr>
            </control>
          </mc:Choice>
        </mc:AlternateContent>
        <mc:AlternateContent xmlns:mc="http://schemas.openxmlformats.org/markup-compatibility/2006">
          <mc:Choice Requires="x14">
            <control shapeId="108724" r:id="rId282" name="Check Box 3252">
              <controlPr defaultSize="0" autoFill="0" autoLine="0" autoPict="0">
                <anchor>
                  <from>
                    <xdr:col>0</xdr:col>
                    <xdr:colOff>0</xdr:colOff>
                    <xdr:row>212</xdr:row>
                    <xdr:rowOff>0</xdr:rowOff>
                  </from>
                  <to>
                    <xdr:col>5</xdr:col>
                    <xdr:colOff>0</xdr:colOff>
                    <xdr:row>213</xdr:row>
                    <xdr:rowOff>47625</xdr:rowOff>
                  </to>
                </anchor>
              </controlPr>
            </control>
          </mc:Choice>
        </mc:AlternateContent>
        <mc:AlternateContent xmlns:mc="http://schemas.openxmlformats.org/markup-compatibility/2006">
          <mc:Choice Requires="x14">
            <control shapeId="108725" r:id="rId283" name="Check Box 3253">
              <controlPr defaultSize="0" autoFill="0" autoLine="0" autoPict="0">
                <anchor>
                  <from>
                    <xdr:col>0</xdr:col>
                    <xdr:colOff>0</xdr:colOff>
                    <xdr:row>213</xdr:row>
                    <xdr:rowOff>0</xdr:rowOff>
                  </from>
                  <to>
                    <xdr:col>5</xdr:col>
                    <xdr:colOff>0</xdr:colOff>
                    <xdr:row>214</xdr:row>
                    <xdr:rowOff>47625</xdr:rowOff>
                  </to>
                </anchor>
              </controlPr>
            </control>
          </mc:Choice>
        </mc:AlternateContent>
        <mc:AlternateContent xmlns:mc="http://schemas.openxmlformats.org/markup-compatibility/2006">
          <mc:Choice Requires="x14">
            <control shapeId="108726" r:id="rId284" name="Check Box 3254">
              <controlPr defaultSize="0" autoFill="0" autoLine="0" autoPict="0">
                <anchor>
                  <from>
                    <xdr:col>0</xdr:col>
                    <xdr:colOff>0</xdr:colOff>
                    <xdr:row>214</xdr:row>
                    <xdr:rowOff>0</xdr:rowOff>
                  </from>
                  <to>
                    <xdr:col>5</xdr:col>
                    <xdr:colOff>0</xdr:colOff>
                    <xdr:row>215</xdr:row>
                    <xdr:rowOff>47625</xdr:rowOff>
                  </to>
                </anchor>
              </controlPr>
            </control>
          </mc:Choice>
        </mc:AlternateContent>
        <mc:AlternateContent xmlns:mc="http://schemas.openxmlformats.org/markup-compatibility/2006">
          <mc:Choice Requires="x14">
            <control shapeId="108727" r:id="rId285" name="Check Box 3255">
              <controlPr defaultSize="0" autoFill="0" autoLine="0" autoPict="0">
                <anchor>
                  <from>
                    <xdr:col>0</xdr:col>
                    <xdr:colOff>0</xdr:colOff>
                    <xdr:row>215</xdr:row>
                    <xdr:rowOff>0</xdr:rowOff>
                  </from>
                  <to>
                    <xdr:col>5</xdr:col>
                    <xdr:colOff>0</xdr:colOff>
                    <xdr:row>216</xdr:row>
                    <xdr:rowOff>47625</xdr:rowOff>
                  </to>
                </anchor>
              </controlPr>
            </control>
          </mc:Choice>
        </mc:AlternateContent>
        <mc:AlternateContent xmlns:mc="http://schemas.openxmlformats.org/markup-compatibility/2006">
          <mc:Choice Requires="x14">
            <control shapeId="108728" r:id="rId286" name="Check Box 3256">
              <controlPr defaultSize="0" autoFill="0" autoLine="0" autoPict="0">
                <anchor>
                  <from>
                    <xdr:col>0</xdr:col>
                    <xdr:colOff>0</xdr:colOff>
                    <xdr:row>216</xdr:row>
                    <xdr:rowOff>0</xdr:rowOff>
                  </from>
                  <to>
                    <xdr:col>5</xdr:col>
                    <xdr:colOff>0</xdr:colOff>
                    <xdr:row>217</xdr:row>
                    <xdr:rowOff>47625</xdr:rowOff>
                  </to>
                </anchor>
              </controlPr>
            </control>
          </mc:Choice>
        </mc:AlternateContent>
        <mc:AlternateContent xmlns:mc="http://schemas.openxmlformats.org/markup-compatibility/2006">
          <mc:Choice Requires="x14">
            <control shapeId="108729" r:id="rId287" name="Check Box 3257">
              <controlPr defaultSize="0" autoFill="0" autoLine="0" autoPict="0">
                <anchor>
                  <from>
                    <xdr:col>0</xdr:col>
                    <xdr:colOff>0</xdr:colOff>
                    <xdr:row>217</xdr:row>
                    <xdr:rowOff>0</xdr:rowOff>
                  </from>
                  <to>
                    <xdr:col>5</xdr:col>
                    <xdr:colOff>0</xdr:colOff>
                    <xdr:row>218</xdr:row>
                    <xdr:rowOff>47625</xdr:rowOff>
                  </to>
                </anchor>
              </controlPr>
            </control>
          </mc:Choice>
        </mc:AlternateContent>
        <mc:AlternateContent xmlns:mc="http://schemas.openxmlformats.org/markup-compatibility/2006">
          <mc:Choice Requires="x14">
            <control shapeId="108730" r:id="rId288" name="Check Box 3258">
              <controlPr defaultSize="0" autoFill="0" autoLine="0" autoPict="0">
                <anchor>
                  <from>
                    <xdr:col>0</xdr:col>
                    <xdr:colOff>0</xdr:colOff>
                    <xdr:row>218</xdr:row>
                    <xdr:rowOff>0</xdr:rowOff>
                  </from>
                  <to>
                    <xdr:col>5</xdr:col>
                    <xdr:colOff>0</xdr:colOff>
                    <xdr:row>219</xdr:row>
                    <xdr:rowOff>47625</xdr:rowOff>
                  </to>
                </anchor>
              </controlPr>
            </control>
          </mc:Choice>
        </mc:AlternateContent>
        <mc:AlternateContent xmlns:mc="http://schemas.openxmlformats.org/markup-compatibility/2006">
          <mc:Choice Requires="x14">
            <control shapeId="108731" r:id="rId289" name="Check Box 3259">
              <controlPr defaultSize="0" autoFill="0" autoLine="0" autoPict="0">
                <anchor>
                  <from>
                    <xdr:col>0</xdr:col>
                    <xdr:colOff>0</xdr:colOff>
                    <xdr:row>219</xdr:row>
                    <xdr:rowOff>0</xdr:rowOff>
                  </from>
                  <to>
                    <xdr:col>5</xdr:col>
                    <xdr:colOff>0</xdr:colOff>
                    <xdr:row>220</xdr:row>
                    <xdr:rowOff>47625</xdr:rowOff>
                  </to>
                </anchor>
              </controlPr>
            </control>
          </mc:Choice>
        </mc:AlternateContent>
        <mc:AlternateContent xmlns:mc="http://schemas.openxmlformats.org/markup-compatibility/2006">
          <mc:Choice Requires="x14">
            <control shapeId="108732" r:id="rId290" name="Check Box 3260">
              <controlPr defaultSize="0" autoFill="0" autoLine="0" autoPict="0">
                <anchor>
                  <from>
                    <xdr:col>0</xdr:col>
                    <xdr:colOff>0</xdr:colOff>
                    <xdr:row>220</xdr:row>
                    <xdr:rowOff>0</xdr:rowOff>
                  </from>
                  <to>
                    <xdr:col>5</xdr:col>
                    <xdr:colOff>0</xdr:colOff>
                    <xdr:row>221</xdr:row>
                    <xdr:rowOff>47625</xdr:rowOff>
                  </to>
                </anchor>
              </controlPr>
            </control>
          </mc:Choice>
        </mc:AlternateContent>
        <mc:AlternateContent xmlns:mc="http://schemas.openxmlformats.org/markup-compatibility/2006">
          <mc:Choice Requires="x14">
            <control shapeId="108733" r:id="rId291" name="Check Box 3261">
              <controlPr defaultSize="0" autoFill="0" autoLine="0" autoPict="0">
                <anchor>
                  <from>
                    <xdr:col>0</xdr:col>
                    <xdr:colOff>0</xdr:colOff>
                    <xdr:row>221</xdr:row>
                    <xdr:rowOff>0</xdr:rowOff>
                  </from>
                  <to>
                    <xdr:col>5</xdr:col>
                    <xdr:colOff>0</xdr:colOff>
                    <xdr:row>222</xdr:row>
                    <xdr:rowOff>47625</xdr:rowOff>
                  </to>
                </anchor>
              </controlPr>
            </control>
          </mc:Choice>
        </mc:AlternateContent>
        <mc:AlternateContent xmlns:mc="http://schemas.openxmlformats.org/markup-compatibility/2006">
          <mc:Choice Requires="x14">
            <control shapeId="108734" r:id="rId292" name="Check Box 3262">
              <controlPr defaultSize="0" autoFill="0" autoLine="0" autoPict="0">
                <anchor>
                  <from>
                    <xdr:col>0</xdr:col>
                    <xdr:colOff>0</xdr:colOff>
                    <xdr:row>222</xdr:row>
                    <xdr:rowOff>0</xdr:rowOff>
                  </from>
                  <to>
                    <xdr:col>5</xdr:col>
                    <xdr:colOff>0</xdr:colOff>
                    <xdr:row>223</xdr:row>
                    <xdr:rowOff>47625</xdr:rowOff>
                  </to>
                </anchor>
              </controlPr>
            </control>
          </mc:Choice>
        </mc:AlternateContent>
        <mc:AlternateContent xmlns:mc="http://schemas.openxmlformats.org/markup-compatibility/2006">
          <mc:Choice Requires="x14">
            <control shapeId="108735" r:id="rId293" name="Check Box 3263">
              <controlPr defaultSize="0" autoFill="0" autoLine="0" autoPict="0">
                <anchor>
                  <from>
                    <xdr:col>0</xdr:col>
                    <xdr:colOff>0</xdr:colOff>
                    <xdr:row>223</xdr:row>
                    <xdr:rowOff>0</xdr:rowOff>
                  </from>
                  <to>
                    <xdr:col>5</xdr:col>
                    <xdr:colOff>0</xdr:colOff>
                    <xdr:row>224</xdr:row>
                    <xdr:rowOff>47625</xdr:rowOff>
                  </to>
                </anchor>
              </controlPr>
            </control>
          </mc:Choice>
        </mc:AlternateContent>
        <mc:AlternateContent xmlns:mc="http://schemas.openxmlformats.org/markup-compatibility/2006">
          <mc:Choice Requires="x14">
            <control shapeId="108736" r:id="rId294" name="Check Box 3264">
              <controlPr defaultSize="0" autoFill="0" autoLine="0" autoPict="0">
                <anchor>
                  <from>
                    <xdr:col>0</xdr:col>
                    <xdr:colOff>0</xdr:colOff>
                    <xdr:row>224</xdr:row>
                    <xdr:rowOff>0</xdr:rowOff>
                  </from>
                  <to>
                    <xdr:col>5</xdr:col>
                    <xdr:colOff>0</xdr:colOff>
                    <xdr:row>225</xdr:row>
                    <xdr:rowOff>47625</xdr:rowOff>
                  </to>
                </anchor>
              </controlPr>
            </control>
          </mc:Choice>
        </mc:AlternateContent>
        <mc:AlternateContent xmlns:mc="http://schemas.openxmlformats.org/markup-compatibility/2006">
          <mc:Choice Requires="x14">
            <control shapeId="108737" r:id="rId295" name="Check Box 3265">
              <controlPr defaultSize="0" autoFill="0" autoLine="0" autoPict="0">
                <anchor>
                  <from>
                    <xdr:col>0</xdr:col>
                    <xdr:colOff>0</xdr:colOff>
                    <xdr:row>225</xdr:row>
                    <xdr:rowOff>0</xdr:rowOff>
                  </from>
                  <to>
                    <xdr:col>5</xdr:col>
                    <xdr:colOff>0</xdr:colOff>
                    <xdr:row>226</xdr:row>
                    <xdr:rowOff>47625</xdr:rowOff>
                  </to>
                </anchor>
              </controlPr>
            </control>
          </mc:Choice>
        </mc:AlternateContent>
        <mc:AlternateContent xmlns:mc="http://schemas.openxmlformats.org/markup-compatibility/2006">
          <mc:Choice Requires="x14">
            <control shapeId="108738" r:id="rId296" name="Check Box 3266">
              <controlPr defaultSize="0" autoFill="0" autoLine="0" autoPict="0">
                <anchor>
                  <from>
                    <xdr:col>0</xdr:col>
                    <xdr:colOff>0</xdr:colOff>
                    <xdr:row>226</xdr:row>
                    <xdr:rowOff>0</xdr:rowOff>
                  </from>
                  <to>
                    <xdr:col>5</xdr:col>
                    <xdr:colOff>0</xdr:colOff>
                    <xdr:row>227</xdr:row>
                    <xdr:rowOff>47625</xdr:rowOff>
                  </to>
                </anchor>
              </controlPr>
            </control>
          </mc:Choice>
        </mc:AlternateContent>
        <mc:AlternateContent xmlns:mc="http://schemas.openxmlformats.org/markup-compatibility/2006">
          <mc:Choice Requires="x14">
            <control shapeId="108739" r:id="rId297" name="Check Box 3267">
              <controlPr defaultSize="0" autoFill="0" autoLine="0" autoPict="0">
                <anchor>
                  <from>
                    <xdr:col>0</xdr:col>
                    <xdr:colOff>0</xdr:colOff>
                    <xdr:row>227</xdr:row>
                    <xdr:rowOff>0</xdr:rowOff>
                  </from>
                  <to>
                    <xdr:col>5</xdr:col>
                    <xdr:colOff>0</xdr:colOff>
                    <xdr:row>228</xdr:row>
                    <xdr:rowOff>47625</xdr:rowOff>
                  </to>
                </anchor>
              </controlPr>
            </control>
          </mc:Choice>
        </mc:AlternateContent>
        <mc:AlternateContent xmlns:mc="http://schemas.openxmlformats.org/markup-compatibility/2006">
          <mc:Choice Requires="x14">
            <control shapeId="108740" r:id="rId298" name="Check Box 3268">
              <controlPr defaultSize="0" autoFill="0" autoLine="0" autoPict="0">
                <anchor>
                  <from>
                    <xdr:col>0</xdr:col>
                    <xdr:colOff>0</xdr:colOff>
                    <xdr:row>228</xdr:row>
                    <xdr:rowOff>0</xdr:rowOff>
                  </from>
                  <to>
                    <xdr:col>5</xdr:col>
                    <xdr:colOff>0</xdr:colOff>
                    <xdr:row>229</xdr:row>
                    <xdr:rowOff>47625</xdr:rowOff>
                  </to>
                </anchor>
              </controlPr>
            </control>
          </mc:Choice>
        </mc:AlternateContent>
        <mc:AlternateContent xmlns:mc="http://schemas.openxmlformats.org/markup-compatibility/2006">
          <mc:Choice Requires="x14">
            <control shapeId="108741" r:id="rId299" name="Check Box 3269">
              <controlPr defaultSize="0" autoFill="0" autoLine="0" autoPict="0">
                <anchor>
                  <from>
                    <xdr:col>0</xdr:col>
                    <xdr:colOff>0</xdr:colOff>
                    <xdr:row>229</xdr:row>
                    <xdr:rowOff>0</xdr:rowOff>
                  </from>
                  <to>
                    <xdr:col>5</xdr:col>
                    <xdr:colOff>0</xdr:colOff>
                    <xdr:row>230</xdr:row>
                    <xdr:rowOff>47625</xdr:rowOff>
                  </to>
                </anchor>
              </controlPr>
            </control>
          </mc:Choice>
        </mc:AlternateContent>
        <mc:AlternateContent xmlns:mc="http://schemas.openxmlformats.org/markup-compatibility/2006">
          <mc:Choice Requires="x14">
            <control shapeId="108742" r:id="rId300" name="Check Box 3270">
              <controlPr defaultSize="0" autoFill="0" autoLine="0" autoPict="0">
                <anchor>
                  <from>
                    <xdr:col>0</xdr:col>
                    <xdr:colOff>0</xdr:colOff>
                    <xdr:row>230</xdr:row>
                    <xdr:rowOff>0</xdr:rowOff>
                  </from>
                  <to>
                    <xdr:col>5</xdr:col>
                    <xdr:colOff>0</xdr:colOff>
                    <xdr:row>231</xdr:row>
                    <xdr:rowOff>47625</xdr:rowOff>
                  </to>
                </anchor>
              </controlPr>
            </control>
          </mc:Choice>
        </mc:AlternateContent>
        <mc:AlternateContent xmlns:mc="http://schemas.openxmlformats.org/markup-compatibility/2006">
          <mc:Choice Requires="x14">
            <control shapeId="108743" r:id="rId301" name="Check Box 3271">
              <controlPr defaultSize="0" autoFill="0" autoLine="0" autoPict="0">
                <anchor>
                  <from>
                    <xdr:col>0</xdr:col>
                    <xdr:colOff>0</xdr:colOff>
                    <xdr:row>231</xdr:row>
                    <xdr:rowOff>0</xdr:rowOff>
                  </from>
                  <to>
                    <xdr:col>5</xdr:col>
                    <xdr:colOff>0</xdr:colOff>
                    <xdr:row>232</xdr:row>
                    <xdr:rowOff>47625</xdr:rowOff>
                  </to>
                </anchor>
              </controlPr>
            </control>
          </mc:Choice>
        </mc:AlternateContent>
        <mc:AlternateContent xmlns:mc="http://schemas.openxmlformats.org/markup-compatibility/2006">
          <mc:Choice Requires="x14">
            <control shapeId="108744" r:id="rId302" name="Check Box 3272">
              <controlPr defaultSize="0" autoFill="0" autoLine="0" autoPict="0">
                <anchor>
                  <from>
                    <xdr:col>0</xdr:col>
                    <xdr:colOff>0</xdr:colOff>
                    <xdr:row>232</xdr:row>
                    <xdr:rowOff>0</xdr:rowOff>
                  </from>
                  <to>
                    <xdr:col>5</xdr:col>
                    <xdr:colOff>0</xdr:colOff>
                    <xdr:row>233</xdr:row>
                    <xdr:rowOff>47625</xdr:rowOff>
                  </to>
                </anchor>
              </controlPr>
            </control>
          </mc:Choice>
        </mc:AlternateContent>
        <mc:AlternateContent xmlns:mc="http://schemas.openxmlformats.org/markup-compatibility/2006">
          <mc:Choice Requires="x14">
            <control shapeId="108745" r:id="rId303" name="Check Box 3273">
              <controlPr defaultSize="0" autoFill="0" autoLine="0" autoPict="0">
                <anchor>
                  <from>
                    <xdr:col>0</xdr:col>
                    <xdr:colOff>0</xdr:colOff>
                    <xdr:row>233</xdr:row>
                    <xdr:rowOff>0</xdr:rowOff>
                  </from>
                  <to>
                    <xdr:col>5</xdr:col>
                    <xdr:colOff>0</xdr:colOff>
                    <xdr:row>234</xdr:row>
                    <xdr:rowOff>47625</xdr:rowOff>
                  </to>
                </anchor>
              </controlPr>
            </control>
          </mc:Choice>
        </mc:AlternateContent>
        <mc:AlternateContent xmlns:mc="http://schemas.openxmlformats.org/markup-compatibility/2006">
          <mc:Choice Requires="x14">
            <control shapeId="108746" r:id="rId304" name="Check Box 3274">
              <controlPr defaultSize="0" autoFill="0" autoLine="0" autoPict="0">
                <anchor>
                  <from>
                    <xdr:col>0</xdr:col>
                    <xdr:colOff>0</xdr:colOff>
                    <xdr:row>234</xdr:row>
                    <xdr:rowOff>0</xdr:rowOff>
                  </from>
                  <to>
                    <xdr:col>5</xdr:col>
                    <xdr:colOff>0</xdr:colOff>
                    <xdr:row>235</xdr:row>
                    <xdr:rowOff>47625</xdr:rowOff>
                  </to>
                </anchor>
              </controlPr>
            </control>
          </mc:Choice>
        </mc:AlternateContent>
        <mc:AlternateContent xmlns:mc="http://schemas.openxmlformats.org/markup-compatibility/2006">
          <mc:Choice Requires="x14">
            <control shapeId="108747" r:id="rId305" name="Check Box 3275">
              <controlPr defaultSize="0" autoFill="0" autoLine="0" autoPict="0">
                <anchor>
                  <from>
                    <xdr:col>0</xdr:col>
                    <xdr:colOff>0</xdr:colOff>
                    <xdr:row>235</xdr:row>
                    <xdr:rowOff>0</xdr:rowOff>
                  </from>
                  <to>
                    <xdr:col>5</xdr:col>
                    <xdr:colOff>0</xdr:colOff>
                    <xdr:row>236</xdr:row>
                    <xdr:rowOff>47625</xdr:rowOff>
                  </to>
                </anchor>
              </controlPr>
            </control>
          </mc:Choice>
        </mc:AlternateContent>
        <mc:AlternateContent xmlns:mc="http://schemas.openxmlformats.org/markup-compatibility/2006">
          <mc:Choice Requires="x14">
            <control shapeId="108748" r:id="rId306" name="Check Box 3276">
              <controlPr defaultSize="0" autoFill="0" autoLine="0" autoPict="0">
                <anchor>
                  <from>
                    <xdr:col>0</xdr:col>
                    <xdr:colOff>0</xdr:colOff>
                    <xdr:row>236</xdr:row>
                    <xdr:rowOff>0</xdr:rowOff>
                  </from>
                  <to>
                    <xdr:col>5</xdr:col>
                    <xdr:colOff>0</xdr:colOff>
                    <xdr:row>237</xdr:row>
                    <xdr:rowOff>47625</xdr:rowOff>
                  </to>
                </anchor>
              </controlPr>
            </control>
          </mc:Choice>
        </mc:AlternateContent>
        <mc:AlternateContent xmlns:mc="http://schemas.openxmlformats.org/markup-compatibility/2006">
          <mc:Choice Requires="x14">
            <control shapeId="108749" r:id="rId307" name="Check Box 3277">
              <controlPr defaultSize="0" autoFill="0" autoLine="0" autoPict="0">
                <anchor>
                  <from>
                    <xdr:col>0</xdr:col>
                    <xdr:colOff>0</xdr:colOff>
                    <xdr:row>237</xdr:row>
                    <xdr:rowOff>0</xdr:rowOff>
                  </from>
                  <to>
                    <xdr:col>5</xdr:col>
                    <xdr:colOff>0</xdr:colOff>
                    <xdr:row>238</xdr:row>
                    <xdr:rowOff>47625</xdr:rowOff>
                  </to>
                </anchor>
              </controlPr>
            </control>
          </mc:Choice>
        </mc:AlternateContent>
        <mc:AlternateContent xmlns:mc="http://schemas.openxmlformats.org/markup-compatibility/2006">
          <mc:Choice Requires="x14">
            <control shapeId="108750" r:id="rId308" name="Check Box 3278">
              <controlPr defaultSize="0" autoFill="0" autoLine="0" autoPict="0">
                <anchor>
                  <from>
                    <xdr:col>0</xdr:col>
                    <xdr:colOff>0</xdr:colOff>
                    <xdr:row>238</xdr:row>
                    <xdr:rowOff>0</xdr:rowOff>
                  </from>
                  <to>
                    <xdr:col>5</xdr:col>
                    <xdr:colOff>0</xdr:colOff>
                    <xdr:row>239</xdr:row>
                    <xdr:rowOff>47625</xdr:rowOff>
                  </to>
                </anchor>
              </controlPr>
            </control>
          </mc:Choice>
        </mc:AlternateContent>
        <mc:AlternateContent xmlns:mc="http://schemas.openxmlformats.org/markup-compatibility/2006">
          <mc:Choice Requires="x14">
            <control shapeId="108751" r:id="rId309" name="Check Box 3279">
              <controlPr defaultSize="0" autoFill="0" autoLine="0" autoPict="0">
                <anchor>
                  <from>
                    <xdr:col>0</xdr:col>
                    <xdr:colOff>0</xdr:colOff>
                    <xdr:row>239</xdr:row>
                    <xdr:rowOff>0</xdr:rowOff>
                  </from>
                  <to>
                    <xdr:col>5</xdr:col>
                    <xdr:colOff>0</xdr:colOff>
                    <xdr:row>240</xdr:row>
                    <xdr:rowOff>47625</xdr:rowOff>
                  </to>
                </anchor>
              </controlPr>
            </control>
          </mc:Choice>
        </mc:AlternateContent>
        <mc:AlternateContent xmlns:mc="http://schemas.openxmlformats.org/markup-compatibility/2006">
          <mc:Choice Requires="x14">
            <control shapeId="108752" r:id="rId310" name="Check Box 3280">
              <controlPr defaultSize="0" autoFill="0" autoLine="0" autoPict="0">
                <anchor>
                  <from>
                    <xdr:col>0</xdr:col>
                    <xdr:colOff>0</xdr:colOff>
                    <xdr:row>240</xdr:row>
                    <xdr:rowOff>0</xdr:rowOff>
                  </from>
                  <to>
                    <xdr:col>5</xdr:col>
                    <xdr:colOff>0</xdr:colOff>
                    <xdr:row>241</xdr:row>
                    <xdr:rowOff>47625</xdr:rowOff>
                  </to>
                </anchor>
              </controlPr>
            </control>
          </mc:Choice>
        </mc:AlternateContent>
        <mc:AlternateContent xmlns:mc="http://schemas.openxmlformats.org/markup-compatibility/2006">
          <mc:Choice Requires="x14">
            <control shapeId="108753" r:id="rId311" name="Check Box 3281">
              <controlPr defaultSize="0" autoFill="0" autoLine="0" autoPict="0">
                <anchor>
                  <from>
                    <xdr:col>0</xdr:col>
                    <xdr:colOff>0</xdr:colOff>
                    <xdr:row>241</xdr:row>
                    <xdr:rowOff>0</xdr:rowOff>
                  </from>
                  <to>
                    <xdr:col>5</xdr:col>
                    <xdr:colOff>0</xdr:colOff>
                    <xdr:row>242</xdr:row>
                    <xdr:rowOff>47625</xdr:rowOff>
                  </to>
                </anchor>
              </controlPr>
            </control>
          </mc:Choice>
        </mc:AlternateContent>
        <mc:AlternateContent xmlns:mc="http://schemas.openxmlformats.org/markup-compatibility/2006">
          <mc:Choice Requires="x14">
            <control shapeId="108754" r:id="rId312" name="Check Box 3282">
              <controlPr defaultSize="0" autoFill="0" autoLine="0" autoPict="0">
                <anchor>
                  <from>
                    <xdr:col>0</xdr:col>
                    <xdr:colOff>0</xdr:colOff>
                    <xdr:row>242</xdr:row>
                    <xdr:rowOff>0</xdr:rowOff>
                  </from>
                  <to>
                    <xdr:col>5</xdr:col>
                    <xdr:colOff>0</xdr:colOff>
                    <xdr:row>243</xdr:row>
                    <xdr:rowOff>47625</xdr:rowOff>
                  </to>
                </anchor>
              </controlPr>
            </control>
          </mc:Choice>
        </mc:AlternateContent>
        <mc:AlternateContent xmlns:mc="http://schemas.openxmlformats.org/markup-compatibility/2006">
          <mc:Choice Requires="x14">
            <control shapeId="108755" r:id="rId313" name="Check Box 3283">
              <controlPr defaultSize="0" autoFill="0" autoLine="0" autoPict="0">
                <anchor>
                  <from>
                    <xdr:col>0</xdr:col>
                    <xdr:colOff>0</xdr:colOff>
                    <xdr:row>243</xdr:row>
                    <xdr:rowOff>0</xdr:rowOff>
                  </from>
                  <to>
                    <xdr:col>5</xdr:col>
                    <xdr:colOff>0</xdr:colOff>
                    <xdr:row>244</xdr:row>
                    <xdr:rowOff>47625</xdr:rowOff>
                  </to>
                </anchor>
              </controlPr>
            </control>
          </mc:Choice>
        </mc:AlternateContent>
        <mc:AlternateContent xmlns:mc="http://schemas.openxmlformats.org/markup-compatibility/2006">
          <mc:Choice Requires="x14">
            <control shapeId="108756" r:id="rId314" name="Check Box 3284">
              <controlPr defaultSize="0" autoFill="0" autoLine="0" autoPict="0">
                <anchor>
                  <from>
                    <xdr:col>0</xdr:col>
                    <xdr:colOff>0</xdr:colOff>
                    <xdr:row>244</xdr:row>
                    <xdr:rowOff>0</xdr:rowOff>
                  </from>
                  <to>
                    <xdr:col>5</xdr:col>
                    <xdr:colOff>0</xdr:colOff>
                    <xdr:row>245</xdr:row>
                    <xdr:rowOff>47625</xdr:rowOff>
                  </to>
                </anchor>
              </controlPr>
            </control>
          </mc:Choice>
        </mc:AlternateContent>
        <mc:AlternateContent xmlns:mc="http://schemas.openxmlformats.org/markup-compatibility/2006">
          <mc:Choice Requires="x14">
            <control shapeId="108757" r:id="rId315" name="Check Box 3285">
              <controlPr defaultSize="0" autoFill="0" autoLine="0" autoPict="0">
                <anchor>
                  <from>
                    <xdr:col>0</xdr:col>
                    <xdr:colOff>0</xdr:colOff>
                    <xdr:row>245</xdr:row>
                    <xdr:rowOff>0</xdr:rowOff>
                  </from>
                  <to>
                    <xdr:col>5</xdr:col>
                    <xdr:colOff>0</xdr:colOff>
                    <xdr:row>246</xdr:row>
                    <xdr:rowOff>47625</xdr:rowOff>
                  </to>
                </anchor>
              </controlPr>
            </control>
          </mc:Choice>
        </mc:AlternateContent>
        <mc:AlternateContent xmlns:mc="http://schemas.openxmlformats.org/markup-compatibility/2006">
          <mc:Choice Requires="x14">
            <control shapeId="108758" r:id="rId316" name="Check Box 3286">
              <controlPr defaultSize="0" autoFill="0" autoLine="0" autoPict="0">
                <anchor>
                  <from>
                    <xdr:col>0</xdr:col>
                    <xdr:colOff>0</xdr:colOff>
                    <xdr:row>246</xdr:row>
                    <xdr:rowOff>0</xdr:rowOff>
                  </from>
                  <to>
                    <xdr:col>5</xdr:col>
                    <xdr:colOff>0</xdr:colOff>
                    <xdr:row>247</xdr:row>
                    <xdr:rowOff>47625</xdr:rowOff>
                  </to>
                </anchor>
              </controlPr>
            </control>
          </mc:Choice>
        </mc:AlternateContent>
        <mc:AlternateContent xmlns:mc="http://schemas.openxmlformats.org/markup-compatibility/2006">
          <mc:Choice Requires="x14">
            <control shapeId="108759" r:id="rId317" name="Check Box 3287">
              <controlPr defaultSize="0" autoFill="0" autoLine="0" autoPict="0">
                <anchor>
                  <from>
                    <xdr:col>0</xdr:col>
                    <xdr:colOff>0</xdr:colOff>
                    <xdr:row>247</xdr:row>
                    <xdr:rowOff>0</xdr:rowOff>
                  </from>
                  <to>
                    <xdr:col>5</xdr:col>
                    <xdr:colOff>0</xdr:colOff>
                    <xdr:row>248</xdr:row>
                    <xdr:rowOff>47625</xdr:rowOff>
                  </to>
                </anchor>
              </controlPr>
            </control>
          </mc:Choice>
        </mc:AlternateContent>
        <mc:AlternateContent xmlns:mc="http://schemas.openxmlformats.org/markup-compatibility/2006">
          <mc:Choice Requires="x14">
            <control shapeId="108760" r:id="rId318" name="Check Box 3288">
              <controlPr defaultSize="0" autoFill="0" autoLine="0" autoPict="0">
                <anchor>
                  <from>
                    <xdr:col>0</xdr:col>
                    <xdr:colOff>0</xdr:colOff>
                    <xdr:row>248</xdr:row>
                    <xdr:rowOff>0</xdr:rowOff>
                  </from>
                  <to>
                    <xdr:col>5</xdr:col>
                    <xdr:colOff>0</xdr:colOff>
                    <xdr:row>249</xdr:row>
                    <xdr:rowOff>47625</xdr:rowOff>
                  </to>
                </anchor>
              </controlPr>
            </control>
          </mc:Choice>
        </mc:AlternateContent>
        <mc:AlternateContent xmlns:mc="http://schemas.openxmlformats.org/markup-compatibility/2006">
          <mc:Choice Requires="x14">
            <control shapeId="108761" r:id="rId319" name="Check Box 3289">
              <controlPr defaultSize="0" autoFill="0" autoLine="0" autoPict="0">
                <anchor>
                  <from>
                    <xdr:col>0</xdr:col>
                    <xdr:colOff>0</xdr:colOff>
                    <xdr:row>249</xdr:row>
                    <xdr:rowOff>0</xdr:rowOff>
                  </from>
                  <to>
                    <xdr:col>5</xdr:col>
                    <xdr:colOff>0</xdr:colOff>
                    <xdr:row>250</xdr:row>
                    <xdr:rowOff>47625</xdr:rowOff>
                  </to>
                </anchor>
              </controlPr>
            </control>
          </mc:Choice>
        </mc:AlternateContent>
        <mc:AlternateContent xmlns:mc="http://schemas.openxmlformats.org/markup-compatibility/2006">
          <mc:Choice Requires="x14">
            <control shapeId="108762" r:id="rId320" name="Check Box 3290">
              <controlPr defaultSize="0" autoFill="0" autoLine="0" autoPict="0">
                <anchor>
                  <from>
                    <xdr:col>0</xdr:col>
                    <xdr:colOff>0</xdr:colOff>
                    <xdr:row>250</xdr:row>
                    <xdr:rowOff>0</xdr:rowOff>
                  </from>
                  <to>
                    <xdr:col>5</xdr:col>
                    <xdr:colOff>0</xdr:colOff>
                    <xdr:row>251</xdr:row>
                    <xdr:rowOff>47625</xdr:rowOff>
                  </to>
                </anchor>
              </controlPr>
            </control>
          </mc:Choice>
        </mc:AlternateContent>
        <mc:AlternateContent xmlns:mc="http://schemas.openxmlformats.org/markup-compatibility/2006">
          <mc:Choice Requires="x14">
            <control shapeId="108763" r:id="rId321" name="Check Box 3291">
              <controlPr defaultSize="0" autoFill="0" autoLine="0" autoPict="0">
                <anchor>
                  <from>
                    <xdr:col>0</xdr:col>
                    <xdr:colOff>0</xdr:colOff>
                    <xdr:row>251</xdr:row>
                    <xdr:rowOff>0</xdr:rowOff>
                  </from>
                  <to>
                    <xdr:col>5</xdr:col>
                    <xdr:colOff>0</xdr:colOff>
                    <xdr:row>252</xdr:row>
                    <xdr:rowOff>47625</xdr:rowOff>
                  </to>
                </anchor>
              </controlPr>
            </control>
          </mc:Choice>
        </mc:AlternateContent>
        <mc:AlternateContent xmlns:mc="http://schemas.openxmlformats.org/markup-compatibility/2006">
          <mc:Choice Requires="x14">
            <control shapeId="108764" r:id="rId322" name="Check Box 3292">
              <controlPr defaultSize="0" autoFill="0" autoLine="0" autoPict="0">
                <anchor>
                  <from>
                    <xdr:col>0</xdr:col>
                    <xdr:colOff>0</xdr:colOff>
                    <xdr:row>252</xdr:row>
                    <xdr:rowOff>0</xdr:rowOff>
                  </from>
                  <to>
                    <xdr:col>5</xdr:col>
                    <xdr:colOff>0</xdr:colOff>
                    <xdr:row>253</xdr:row>
                    <xdr:rowOff>47625</xdr:rowOff>
                  </to>
                </anchor>
              </controlPr>
            </control>
          </mc:Choice>
        </mc:AlternateContent>
        <mc:AlternateContent xmlns:mc="http://schemas.openxmlformats.org/markup-compatibility/2006">
          <mc:Choice Requires="x14">
            <control shapeId="108765" r:id="rId323" name="Check Box 3293">
              <controlPr defaultSize="0" autoFill="0" autoLine="0" autoPict="0">
                <anchor>
                  <from>
                    <xdr:col>0</xdr:col>
                    <xdr:colOff>0</xdr:colOff>
                    <xdr:row>253</xdr:row>
                    <xdr:rowOff>0</xdr:rowOff>
                  </from>
                  <to>
                    <xdr:col>5</xdr:col>
                    <xdr:colOff>0</xdr:colOff>
                    <xdr:row>254</xdr:row>
                    <xdr:rowOff>47625</xdr:rowOff>
                  </to>
                </anchor>
              </controlPr>
            </control>
          </mc:Choice>
        </mc:AlternateContent>
        <mc:AlternateContent xmlns:mc="http://schemas.openxmlformats.org/markup-compatibility/2006">
          <mc:Choice Requires="x14">
            <control shapeId="108766" r:id="rId324" name="Check Box 3294">
              <controlPr defaultSize="0" autoFill="0" autoLine="0" autoPict="0">
                <anchor>
                  <from>
                    <xdr:col>0</xdr:col>
                    <xdr:colOff>0</xdr:colOff>
                    <xdr:row>254</xdr:row>
                    <xdr:rowOff>0</xdr:rowOff>
                  </from>
                  <to>
                    <xdr:col>5</xdr:col>
                    <xdr:colOff>0</xdr:colOff>
                    <xdr:row>255</xdr:row>
                    <xdr:rowOff>47625</xdr:rowOff>
                  </to>
                </anchor>
              </controlPr>
            </control>
          </mc:Choice>
        </mc:AlternateContent>
        <mc:AlternateContent xmlns:mc="http://schemas.openxmlformats.org/markup-compatibility/2006">
          <mc:Choice Requires="x14">
            <control shapeId="108767" r:id="rId325" name="Check Box 3295">
              <controlPr defaultSize="0" autoFill="0" autoLine="0" autoPict="0">
                <anchor>
                  <from>
                    <xdr:col>0</xdr:col>
                    <xdr:colOff>0</xdr:colOff>
                    <xdr:row>255</xdr:row>
                    <xdr:rowOff>0</xdr:rowOff>
                  </from>
                  <to>
                    <xdr:col>5</xdr:col>
                    <xdr:colOff>0</xdr:colOff>
                    <xdr:row>256</xdr:row>
                    <xdr:rowOff>47625</xdr:rowOff>
                  </to>
                </anchor>
              </controlPr>
            </control>
          </mc:Choice>
        </mc:AlternateContent>
        <mc:AlternateContent xmlns:mc="http://schemas.openxmlformats.org/markup-compatibility/2006">
          <mc:Choice Requires="x14">
            <control shapeId="108768" r:id="rId326" name="Check Box 3296">
              <controlPr defaultSize="0" autoFill="0" autoLine="0" autoPict="0">
                <anchor>
                  <from>
                    <xdr:col>0</xdr:col>
                    <xdr:colOff>0</xdr:colOff>
                    <xdr:row>256</xdr:row>
                    <xdr:rowOff>0</xdr:rowOff>
                  </from>
                  <to>
                    <xdr:col>5</xdr:col>
                    <xdr:colOff>0</xdr:colOff>
                    <xdr:row>257</xdr:row>
                    <xdr:rowOff>47625</xdr:rowOff>
                  </to>
                </anchor>
              </controlPr>
            </control>
          </mc:Choice>
        </mc:AlternateContent>
        <mc:AlternateContent xmlns:mc="http://schemas.openxmlformats.org/markup-compatibility/2006">
          <mc:Choice Requires="x14">
            <control shapeId="108769" r:id="rId327" name="Check Box 3297">
              <controlPr defaultSize="0" autoFill="0" autoLine="0" autoPict="0">
                <anchor>
                  <from>
                    <xdr:col>0</xdr:col>
                    <xdr:colOff>0</xdr:colOff>
                    <xdr:row>257</xdr:row>
                    <xdr:rowOff>0</xdr:rowOff>
                  </from>
                  <to>
                    <xdr:col>5</xdr:col>
                    <xdr:colOff>0</xdr:colOff>
                    <xdr:row>258</xdr:row>
                    <xdr:rowOff>47625</xdr:rowOff>
                  </to>
                </anchor>
              </controlPr>
            </control>
          </mc:Choice>
        </mc:AlternateContent>
        <mc:AlternateContent xmlns:mc="http://schemas.openxmlformats.org/markup-compatibility/2006">
          <mc:Choice Requires="x14">
            <control shapeId="108770" r:id="rId328" name="Check Box 3298">
              <controlPr defaultSize="0" autoFill="0" autoLine="0" autoPict="0">
                <anchor>
                  <from>
                    <xdr:col>0</xdr:col>
                    <xdr:colOff>0</xdr:colOff>
                    <xdr:row>258</xdr:row>
                    <xdr:rowOff>0</xdr:rowOff>
                  </from>
                  <to>
                    <xdr:col>5</xdr:col>
                    <xdr:colOff>0</xdr:colOff>
                    <xdr:row>259</xdr:row>
                    <xdr:rowOff>47625</xdr:rowOff>
                  </to>
                </anchor>
              </controlPr>
            </control>
          </mc:Choice>
        </mc:AlternateContent>
        <mc:AlternateContent xmlns:mc="http://schemas.openxmlformats.org/markup-compatibility/2006">
          <mc:Choice Requires="x14">
            <control shapeId="108771" r:id="rId329" name="Check Box 3299">
              <controlPr defaultSize="0" autoFill="0" autoLine="0" autoPict="0">
                <anchor>
                  <from>
                    <xdr:col>0</xdr:col>
                    <xdr:colOff>0</xdr:colOff>
                    <xdr:row>259</xdr:row>
                    <xdr:rowOff>0</xdr:rowOff>
                  </from>
                  <to>
                    <xdr:col>5</xdr:col>
                    <xdr:colOff>0</xdr:colOff>
                    <xdr:row>260</xdr:row>
                    <xdr:rowOff>47625</xdr:rowOff>
                  </to>
                </anchor>
              </controlPr>
            </control>
          </mc:Choice>
        </mc:AlternateContent>
        <mc:AlternateContent xmlns:mc="http://schemas.openxmlformats.org/markup-compatibility/2006">
          <mc:Choice Requires="x14">
            <control shapeId="108772" r:id="rId330" name="Check Box 3300">
              <controlPr defaultSize="0" autoFill="0" autoLine="0" autoPict="0">
                <anchor>
                  <from>
                    <xdr:col>0</xdr:col>
                    <xdr:colOff>0</xdr:colOff>
                    <xdr:row>260</xdr:row>
                    <xdr:rowOff>0</xdr:rowOff>
                  </from>
                  <to>
                    <xdr:col>5</xdr:col>
                    <xdr:colOff>0</xdr:colOff>
                    <xdr:row>261</xdr:row>
                    <xdr:rowOff>47625</xdr:rowOff>
                  </to>
                </anchor>
              </controlPr>
            </control>
          </mc:Choice>
        </mc:AlternateContent>
        <mc:AlternateContent xmlns:mc="http://schemas.openxmlformats.org/markup-compatibility/2006">
          <mc:Choice Requires="x14">
            <control shapeId="108773" r:id="rId331" name="Check Box 3301">
              <controlPr defaultSize="0" autoFill="0" autoLine="0" autoPict="0">
                <anchor>
                  <from>
                    <xdr:col>0</xdr:col>
                    <xdr:colOff>0</xdr:colOff>
                    <xdr:row>261</xdr:row>
                    <xdr:rowOff>0</xdr:rowOff>
                  </from>
                  <to>
                    <xdr:col>5</xdr:col>
                    <xdr:colOff>0</xdr:colOff>
                    <xdr:row>262</xdr:row>
                    <xdr:rowOff>47625</xdr:rowOff>
                  </to>
                </anchor>
              </controlPr>
            </control>
          </mc:Choice>
        </mc:AlternateContent>
        <mc:AlternateContent xmlns:mc="http://schemas.openxmlformats.org/markup-compatibility/2006">
          <mc:Choice Requires="x14">
            <control shapeId="108774" r:id="rId332" name="Check Box 3302">
              <controlPr defaultSize="0" autoFill="0" autoLine="0" autoPict="0">
                <anchor>
                  <from>
                    <xdr:col>0</xdr:col>
                    <xdr:colOff>0</xdr:colOff>
                    <xdr:row>262</xdr:row>
                    <xdr:rowOff>0</xdr:rowOff>
                  </from>
                  <to>
                    <xdr:col>5</xdr:col>
                    <xdr:colOff>0</xdr:colOff>
                    <xdr:row>263</xdr:row>
                    <xdr:rowOff>47625</xdr:rowOff>
                  </to>
                </anchor>
              </controlPr>
            </control>
          </mc:Choice>
        </mc:AlternateContent>
        <mc:AlternateContent xmlns:mc="http://schemas.openxmlformats.org/markup-compatibility/2006">
          <mc:Choice Requires="x14">
            <control shapeId="108775" r:id="rId333" name="Check Box 3303">
              <controlPr defaultSize="0" autoFill="0" autoLine="0" autoPict="0">
                <anchor>
                  <from>
                    <xdr:col>0</xdr:col>
                    <xdr:colOff>0</xdr:colOff>
                    <xdr:row>263</xdr:row>
                    <xdr:rowOff>0</xdr:rowOff>
                  </from>
                  <to>
                    <xdr:col>5</xdr:col>
                    <xdr:colOff>0</xdr:colOff>
                    <xdr:row>264</xdr:row>
                    <xdr:rowOff>47625</xdr:rowOff>
                  </to>
                </anchor>
              </controlPr>
            </control>
          </mc:Choice>
        </mc:AlternateContent>
        <mc:AlternateContent xmlns:mc="http://schemas.openxmlformats.org/markup-compatibility/2006">
          <mc:Choice Requires="x14">
            <control shapeId="108776" r:id="rId334" name="Check Box 3304">
              <controlPr defaultSize="0" autoFill="0" autoLine="0" autoPict="0">
                <anchor>
                  <from>
                    <xdr:col>0</xdr:col>
                    <xdr:colOff>0</xdr:colOff>
                    <xdr:row>264</xdr:row>
                    <xdr:rowOff>0</xdr:rowOff>
                  </from>
                  <to>
                    <xdr:col>5</xdr:col>
                    <xdr:colOff>0</xdr:colOff>
                    <xdr:row>265</xdr:row>
                    <xdr:rowOff>47625</xdr:rowOff>
                  </to>
                </anchor>
              </controlPr>
            </control>
          </mc:Choice>
        </mc:AlternateContent>
        <mc:AlternateContent xmlns:mc="http://schemas.openxmlformats.org/markup-compatibility/2006">
          <mc:Choice Requires="x14">
            <control shapeId="108777" r:id="rId335" name="Check Box 3305">
              <controlPr defaultSize="0" autoFill="0" autoLine="0" autoPict="0">
                <anchor>
                  <from>
                    <xdr:col>0</xdr:col>
                    <xdr:colOff>0</xdr:colOff>
                    <xdr:row>265</xdr:row>
                    <xdr:rowOff>0</xdr:rowOff>
                  </from>
                  <to>
                    <xdr:col>5</xdr:col>
                    <xdr:colOff>0</xdr:colOff>
                    <xdr:row>266</xdr:row>
                    <xdr:rowOff>47625</xdr:rowOff>
                  </to>
                </anchor>
              </controlPr>
            </control>
          </mc:Choice>
        </mc:AlternateContent>
        <mc:AlternateContent xmlns:mc="http://schemas.openxmlformats.org/markup-compatibility/2006">
          <mc:Choice Requires="x14">
            <control shapeId="108778" r:id="rId336" name="Check Box 3306">
              <controlPr defaultSize="0" autoFill="0" autoLine="0" autoPict="0">
                <anchor>
                  <from>
                    <xdr:col>0</xdr:col>
                    <xdr:colOff>0</xdr:colOff>
                    <xdr:row>266</xdr:row>
                    <xdr:rowOff>0</xdr:rowOff>
                  </from>
                  <to>
                    <xdr:col>5</xdr:col>
                    <xdr:colOff>0</xdr:colOff>
                    <xdr:row>267</xdr:row>
                    <xdr:rowOff>47625</xdr:rowOff>
                  </to>
                </anchor>
              </controlPr>
            </control>
          </mc:Choice>
        </mc:AlternateContent>
        <mc:AlternateContent xmlns:mc="http://schemas.openxmlformats.org/markup-compatibility/2006">
          <mc:Choice Requires="x14">
            <control shapeId="108779" r:id="rId337" name="Check Box 3307">
              <controlPr defaultSize="0" autoFill="0" autoLine="0" autoPict="0">
                <anchor>
                  <from>
                    <xdr:col>0</xdr:col>
                    <xdr:colOff>0</xdr:colOff>
                    <xdr:row>267</xdr:row>
                    <xdr:rowOff>0</xdr:rowOff>
                  </from>
                  <to>
                    <xdr:col>5</xdr:col>
                    <xdr:colOff>0</xdr:colOff>
                    <xdr:row>268</xdr:row>
                    <xdr:rowOff>47625</xdr:rowOff>
                  </to>
                </anchor>
              </controlPr>
            </control>
          </mc:Choice>
        </mc:AlternateContent>
        <mc:AlternateContent xmlns:mc="http://schemas.openxmlformats.org/markup-compatibility/2006">
          <mc:Choice Requires="x14">
            <control shapeId="108780" r:id="rId338" name="Check Box 3308">
              <controlPr defaultSize="0" autoFill="0" autoLine="0" autoPict="0">
                <anchor>
                  <from>
                    <xdr:col>0</xdr:col>
                    <xdr:colOff>0</xdr:colOff>
                    <xdr:row>268</xdr:row>
                    <xdr:rowOff>0</xdr:rowOff>
                  </from>
                  <to>
                    <xdr:col>5</xdr:col>
                    <xdr:colOff>0</xdr:colOff>
                    <xdr:row>269</xdr:row>
                    <xdr:rowOff>47625</xdr:rowOff>
                  </to>
                </anchor>
              </controlPr>
            </control>
          </mc:Choice>
        </mc:AlternateContent>
        <mc:AlternateContent xmlns:mc="http://schemas.openxmlformats.org/markup-compatibility/2006">
          <mc:Choice Requires="x14">
            <control shapeId="108781" r:id="rId339" name="Check Box 3309">
              <controlPr defaultSize="0" autoFill="0" autoLine="0" autoPict="0">
                <anchor>
                  <from>
                    <xdr:col>0</xdr:col>
                    <xdr:colOff>0</xdr:colOff>
                    <xdr:row>269</xdr:row>
                    <xdr:rowOff>0</xdr:rowOff>
                  </from>
                  <to>
                    <xdr:col>5</xdr:col>
                    <xdr:colOff>0</xdr:colOff>
                    <xdr:row>270</xdr:row>
                    <xdr:rowOff>47625</xdr:rowOff>
                  </to>
                </anchor>
              </controlPr>
            </control>
          </mc:Choice>
        </mc:AlternateContent>
        <mc:AlternateContent xmlns:mc="http://schemas.openxmlformats.org/markup-compatibility/2006">
          <mc:Choice Requires="x14">
            <control shapeId="108782" r:id="rId340" name="Check Box 3310">
              <controlPr defaultSize="0" autoFill="0" autoLine="0" autoPict="0">
                <anchor>
                  <from>
                    <xdr:col>0</xdr:col>
                    <xdr:colOff>0</xdr:colOff>
                    <xdr:row>270</xdr:row>
                    <xdr:rowOff>0</xdr:rowOff>
                  </from>
                  <to>
                    <xdr:col>5</xdr:col>
                    <xdr:colOff>0</xdr:colOff>
                    <xdr:row>271</xdr:row>
                    <xdr:rowOff>47625</xdr:rowOff>
                  </to>
                </anchor>
              </controlPr>
            </control>
          </mc:Choice>
        </mc:AlternateContent>
        <mc:AlternateContent xmlns:mc="http://schemas.openxmlformats.org/markup-compatibility/2006">
          <mc:Choice Requires="x14">
            <control shapeId="108783" r:id="rId341" name="Check Box 3311">
              <controlPr defaultSize="0" autoFill="0" autoLine="0" autoPict="0">
                <anchor>
                  <from>
                    <xdr:col>0</xdr:col>
                    <xdr:colOff>0</xdr:colOff>
                    <xdr:row>271</xdr:row>
                    <xdr:rowOff>0</xdr:rowOff>
                  </from>
                  <to>
                    <xdr:col>5</xdr:col>
                    <xdr:colOff>0</xdr:colOff>
                    <xdr:row>272</xdr:row>
                    <xdr:rowOff>47625</xdr:rowOff>
                  </to>
                </anchor>
              </controlPr>
            </control>
          </mc:Choice>
        </mc:AlternateContent>
        <mc:AlternateContent xmlns:mc="http://schemas.openxmlformats.org/markup-compatibility/2006">
          <mc:Choice Requires="x14">
            <control shapeId="108784" r:id="rId342" name="Check Box 3312">
              <controlPr defaultSize="0" autoFill="0" autoLine="0" autoPict="0">
                <anchor>
                  <from>
                    <xdr:col>0</xdr:col>
                    <xdr:colOff>0</xdr:colOff>
                    <xdr:row>272</xdr:row>
                    <xdr:rowOff>0</xdr:rowOff>
                  </from>
                  <to>
                    <xdr:col>5</xdr:col>
                    <xdr:colOff>0</xdr:colOff>
                    <xdr:row>273</xdr:row>
                    <xdr:rowOff>47625</xdr:rowOff>
                  </to>
                </anchor>
              </controlPr>
            </control>
          </mc:Choice>
        </mc:AlternateContent>
        <mc:AlternateContent xmlns:mc="http://schemas.openxmlformats.org/markup-compatibility/2006">
          <mc:Choice Requires="x14">
            <control shapeId="108785" r:id="rId343" name="Check Box 3313">
              <controlPr defaultSize="0" autoFill="0" autoLine="0" autoPict="0">
                <anchor>
                  <from>
                    <xdr:col>0</xdr:col>
                    <xdr:colOff>0</xdr:colOff>
                    <xdr:row>273</xdr:row>
                    <xdr:rowOff>0</xdr:rowOff>
                  </from>
                  <to>
                    <xdr:col>5</xdr:col>
                    <xdr:colOff>0</xdr:colOff>
                    <xdr:row>274</xdr:row>
                    <xdr:rowOff>47625</xdr:rowOff>
                  </to>
                </anchor>
              </controlPr>
            </control>
          </mc:Choice>
        </mc:AlternateContent>
        <mc:AlternateContent xmlns:mc="http://schemas.openxmlformats.org/markup-compatibility/2006">
          <mc:Choice Requires="x14">
            <control shapeId="108786" r:id="rId344" name="Check Box 3314">
              <controlPr defaultSize="0" autoFill="0" autoLine="0" autoPict="0">
                <anchor>
                  <from>
                    <xdr:col>0</xdr:col>
                    <xdr:colOff>0</xdr:colOff>
                    <xdr:row>274</xdr:row>
                    <xdr:rowOff>0</xdr:rowOff>
                  </from>
                  <to>
                    <xdr:col>5</xdr:col>
                    <xdr:colOff>0</xdr:colOff>
                    <xdr:row>275</xdr:row>
                    <xdr:rowOff>47625</xdr:rowOff>
                  </to>
                </anchor>
              </controlPr>
            </control>
          </mc:Choice>
        </mc:AlternateContent>
        <mc:AlternateContent xmlns:mc="http://schemas.openxmlformats.org/markup-compatibility/2006">
          <mc:Choice Requires="x14">
            <control shapeId="108787" r:id="rId345" name="Check Box 3315">
              <controlPr defaultSize="0" autoFill="0" autoLine="0" autoPict="0">
                <anchor>
                  <from>
                    <xdr:col>0</xdr:col>
                    <xdr:colOff>0</xdr:colOff>
                    <xdr:row>275</xdr:row>
                    <xdr:rowOff>0</xdr:rowOff>
                  </from>
                  <to>
                    <xdr:col>5</xdr:col>
                    <xdr:colOff>0</xdr:colOff>
                    <xdr:row>276</xdr:row>
                    <xdr:rowOff>47625</xdr:rowOff>
                  </to>
                </anchor>
              </controlPr>
            </control>
          </mc:Choice>
        </mc:AlternateContent>
        <mc:AlternateContent xmlns:mc="http://schemas.openxmlformats.org/markup-compatibility/2006">
          <mc:Choice Requires="x14">
            <control shapeId="108788" r:id="rId346" name="Check Box 3316">
              <controlPr defaultSize="0" autoFill="0" autoLine="0" autoPict="0">
                <anchor>
                  <from>
                    <xdr:col>0</xdr:col>
                    <xdr:colOff>0</xdr:colOff>
                    <xdr:row>276</xdr:row>
                    <xdr:rowOff>0</xdr:rowOff>
                  </from>
                  <to>
                    <xdr:col>5</xdr:col>
                    <xdr:colOff>0</xdr:colOff>
                    <xdr:row>277</xdr:row>
                    <xdr:rowOff>47625</xdr:rowOff>
                  </to>
                </anchor>
              </controlPr>
            </control>
          </mc:Choice>
        </mc:AlternateContent>
        <mc:AlternateContent xmlns:mc="http://schemas.openxmlformats.org/markup-compatibility/2006">
          <mc:Choice Requires="x14">
            <control shapeId="108789" r:id="rId347" name="Check Box 3317">
              <controlPr defaultSize="0" autoFill="0" autoLine="0" autoPict="0">
                <anchor>
                  <from>
                    <xdr:col>0</xdr:col>
                    <xdr:colOff>0</xdr:colOff>
                    <xdr:row>277</xdr:row>
                    <xdr:rowOff>0</xdr:rowOff>
                  </from>
                  <to>
                    <xdr:col>5</xdr:col>
                    <xdr:colOff>0</xdr:colOff>
                    <xdr:row>278</xdr:row>
                    <xdr:rowOff>47625</xdr:rowOff>
                  </to>
                </anchor>
              </controlPr>
            </control>
          </mc:Choice>
        </mc:AlternateContent>
        <mc:AlternateContent xmlns:mc="http://schemas.openxmlformats.org/markup-compatibility/2006">
          <mc:Choice Requires="x14">
            <control shapeId="108790" r:id="rId348" name="Check Box 3318">
              <controlPr defaultSize="0" autoFill="0" autoLine="0" autoPict="0">
                <anchor>
                  <from>
                    <xdr:col>0</xdr:col>
                    <xdr:colOff>0</xdr:colOff>
                    <xdr:row>278</xdr:row>
                    <xdr:rowOff>0</xdr:rowOff>
                  </from>
                  <to>
                    <xdr:col>5</xdr:col>
                    <xdr:colOff>0</xdr:colOff>
                    <xdr:row>279</xdr:row>
                    <xdr:rowOff>47625</xdr:rowOff>
                  </to>
                </anchor>
              </controlPr>
            </control>
          </mc:Choice>
        </mc:AlternateContent>
        <mc:AlternateContent xmlns:mc="http://schemas.openxmlformats.org/markup-compatibility/2006">
          <mc:Choice Requires="x14">
            <control shapeId="108791" r:id="rId349" name="Check Box 3319">
              <controlPr defaultSize="0" autoFill="0" autoLine="0" autoPict="0">
                <anchor>
                  <from>
                    <xdr:col>0</xdr:col>
                    <xdr:colOff>0</xdr:colOff>
                    <xdr:row>279</xdr:row>
                    <xdr:rowOff>0</xdr:rowOff>
                  </from>
                  <to>
                    <xdr:col>5</xdr:col>
                    <xdr:colOff>0</xdr:colOff>
                    <xdr:row>280</xdr:row>
                    <xdr:rowOff>47625</xdr:rowOff>
                  </to>
                </anchor>
              </controlPr>
            </control>
          </mc:Choice>
        </mc:AlternateContent>
        <mc:AlternateContent xmlns:mc="http://schemas.openxmlformats.org/markup-compatibility/2006">
          <mc:Choice Requires="x14">
            <control shapeId="108792" r:id="rId350" name="Check Box 3320">
              <controlPr defaultSize="0" autoFill="0" autoLine="0" autoPict="0">
                <anchor>
                  <from>
                    <xdr:col>0</xdr:col>
                    <xdr:colOff>0</xdr:colOff>
                    <xdr:row>280</xdr:row>
                    <xdr:rowOff>0</xdr:rowOff>
                  </from>
                  <to>
                    <xdr:col>5</xdr:col>
                    <xdr:colOff>0</xdr:colOff>
                    <xdr:row>281</xdr:row>
                    <xdr:rowOff>47625</xdr:rowOff>
                  </to>
                </anchor>
              </controlPr>
            </control>
          </mc:Choice>
        </mc:AlternateContent>
        <mc:AlternateContent xmlns:mc="http://schemas.openxmlformats.org/markup-compatibility/2006">
          <mc:Choice Requires="x14">
            <control shapeId="108793" r:id="rId351" name="Check Box 3321">
              <controlPr defaultSize="0" autoFill="0" autoLine="0" autoPict="0">
                <anchor>
                  <from>
                    <xdr:col>0</xdr:col>
                    <xdr:colOff>0</xdr:colOff>
                    <xdr:row>281</xdr:row>
                    <xdr:rowOff>0</xdr:rowOff>
                  </from>
                  <to>
                    <xdr:col>5</xdr:col>
                    <xdr:colOff>0</xdr:colOff>
                    <xdr:row>282</xdr:row>
                    <xdr:rowOff>47625</xdr:rowOff>
                  </to>
                </anchor>
              </controlPr>
            </control>
          </mc:Choice>
        </mc:AlternateContent>
        <mc:AlternateContent xmlns:mc="http://schemas.openxmlformats.org/markup-compatibility/2006">
          <mc:Choice Requires="x14">
            <control shapeId="108794" r:id="rId352" name="Check Box 3322">
              <controlPr defaultSize="0" autoFill="0" autoLine="0" autoPict="0">
                <anchor>
                  <from>
                    <xdr:col>0</xdr:col>
                    <xdr:colOff>0</xdr:colOff>
                    <xdr:row>282</xdr:row>
                    <xdr:rowOff>0</xdr:rowOff>
                  </from>
                  <to>
                    <xdr:col>5</xdr:col>
                    <xdr:colOff>0</xdr:colOff>
                    <xdr:row>283</xdr:row>
                    <xdr:rowOff>47625</xdr:rowOff>
                  </to>
                </anchor>
              </controlPr>
            </control>
          </mc:Choice>
        </mc:AlternateContent>
        <mc:AlternateContent xmlns:mc="http://schemas.openxmlformats.org/markup-compatibility/2006">
          <mc:Choice Requires="x14">
            <control shapeId="108795" r:id="rId353" name="Check Box 3323">
              <controlPr defaultSize="0" autoFill="0" autoLine="0" autoPict="0">
                <anchor>
                  <from>
                    <xdr:col>0</xdr:col>
                    <xdr:colOff>0</xdr:colOff>
                    <xdr:row>283</xdr:row>
                    <xdr:rowOff>0</xdr:rowOff>
                  </from>
                  <to>
                    <xdr:col>5</xdr:col>
                    <xdr:colOff>0</xdr:colOff>
                    <xdr:row>284</xdr:row>
                    <xdr:rowOff>47625</xdr:rowOff>
                  </to>
                </anchor>
              </controlPr>
            </control>
          </mc:Choice>
        </mc:AlternateContent>
        <mc:AlternateContent xmlns:mc="http://schemas.openxmlformats.org/markup-compatibility/2006">
          <mc:Choice Requires="x14">
            <control shapeId="108796" r:id="rId354" name="Check Box 3324">
              <controlPr defaultSize="0" autoFill="0" autoLine="0" autoPict="0">
                <anchor>
                  <from>
                    <xdr:col>0</xdr:col>
                    <xdr:colOff>0</xdr:colOff>
                    <xdr:row>284</xdr:row>
                    <xdr:rowOff>0</xdr:rowOff>
                  </from>
                  <to>
                    <xdr:col>5</xdr:col>
                    <xdr:colOff>0</xdr:colOff>
                    <xdr:row>285</xdr:row>
                    <xdr:rowOff>47625</xdr:rowOff>
                  </to>
                </anchor>
              </controlPr>
            </control>
          </mc:Choice>
        </mc:AlternateContent>
        <mc:AlternateContent xmlns:mc="http://schemas.openxmlformats.org/markup-compatibility/2006">
          <mc:Choice Requires="x14">
            <control shapeId="108797" r:id="rId355" name="Check Box 3325">
              <controlPr defaultSize="0" autoFill="0" autoLine="0" autoPict="0">
                <anchor>
                  <from>
                    <xdr:col>0</xdr:col>
                    <xdr:colOff>0</xdr:colOff>
                    <xdr:row>285</xdr:row>
                    <xdr:rowOff>0</xdr:rowOff>
                  </from>
                  <to>
                    <xdr:col>5</xdr:col>
                    <xdr:colOff>0</xdr:colOff>
                    <xdr:row>286</xdr:row>
                    <xdr:rowOff>47625</xdr:rowOff>
                  </to>
                </anchor>
              </controlPr>
            </control>
          </mc:Choice>
        </mc:AlternateContent>
        <mc:AlternateContent xmlns:mc="http://schemas.openxmlformats.org/markup-compatibility/2006">
          <mc:Choice Requires="x14">
            <control shapeId="108798" r:id="rId356" name="Check Box 3326">
              <controlPr defaultSize="0" autoFill="0" autoLine="0" autoPict="0">
                <anchor>
                  <from>
                    <xdr:col>0</xdr:col>
                    <xdr:colOff>0</xdr:colOff>
                    <xdr:row>286</xdr:row>
                    <xdr:rowOff>0</xdr:rowOff>
                  </from>
                  <to>
                    <xdr:col>5</xdr:col>
                    <xdr:colOff>0</xdr:colOff>
                    <xdr:row>287</xdr:row>
                    <xdr:rowOff>47625</xdr:rowOff>
                  </to>
                </anchor>
              </controlPr>
            </control>
          </mc:Choice>
        </mc:AlternateContent>
        <mc:AlternateContent xmlns:mc="http://schemas.openxmlformats.org/markup-compatibility/2006">
          <mc:Choice Requires="x14">
            <control shapeId="108799" r:id="rId357" name="Check Box 3327">
              <controlPr defaultSize="0" autoFill="0" autoLine="0" autoPict="0">
                <anchor>
                  <from>
                    <xdr:col>0</xdr:col>
                    <xdr:colOff>0</xdr:colOff>
                    <xdr:row>287</xdr:row>
                    <xdr:rowOff>0</xdr:rowOff>
                  </from>
                  <to>
                    <xdr:col>5</xdr:col>
                    <xdr:colOff>0</xdr:colOff>
                    <xdr:row>288</xdr:row>
                    <xdr:rowOff>47625</xdr:rowOff>
                  </to>
                </anchor>
              </controlPr>
            </control>
          </mc:Choice>
        </mc:AlternateContent>
        <mc:AlternateContent xmlns:mc="http://schemas.openxmlformats.org/markup-compatibility/2006">
          <mc:Choice Requires="x14">
            <control shapeId="108800" r:id="rId358" name="Check Box 3328">
              <controlPr defaultSize="0" autoFill="0" autoLine="0" autoPict="0">
                <anchor>
                  <from>
                    <xdr:col>0</xdr:col>
                    <xdr:colOff>0</xdr:colOff>
                    <xdr:row>288</xdr:row>
                    <xdr:rowOff>0</xdr:rowOff>
                  </from>
                  <to>
                    <xdr:col>5</xdr:col>
                    <xdr:colOff>0</xdr:colOff>
                    <xdr:row>289</xdr:row>
                    <xdr:rowOff>47625</xdr:rowOff>
                  </to>
                </anchor>
              </controlPr>
            </control>
          </mc:Choice>
        </mc:AlternateContent>
        <mc:AlternateContent xmlns:mc="http://schemas.openxmlformats.org/markup-compatibility/2006">
          <mc:Choice Requires="x14">
            <control shapeId="108801" r:id="rId359" name="Check Box 3329">
              <controlPr defaultSize="0" autoFill="0" autoLine="0" autoPict="0">
                <anchor>
                  <from>
                    <xdr:col>0</xdr:col>
                    <xdr:colOff>0</xdr:colOff>
                    <xdr:row>289</xdr:row>
                    <xdr:rowOff>0</xdr:rowOff>
                  </from>
                  <to>
                    <xdr:col>5</xdr:col>
                    <xdr:colOff>0</xdr:colOff>
                    <xdr:row>290</xdr:row>
                    <xdr:rowOff>47625</xdr:rowOff>
                  </to>
                </anchor>
              </controlPr>
            </control>
          </mc:Choice>
        </mc:AlternateContent>
        <mc:AlternateContent xmlns:mc="http://schemas.openxmlformats.org/markup-compatibility/2006">
          <mc:Choice Requires="x14">
            <control shapeId="108802" r:id="rId360" name="Check Box 3330">
              <controlPr defaultSize="0" autoFill="0" autoLine="0" autoPict="0">
                <anchor>
                  <from>
                    <xdr:col>0</xdr:col>
                    <xdr:colOff>0</xdr:colOff>
                    <xdr:row>290</xdr:row>
                    <xdr:rowOff>0</xdr:rowOff>
                  </from>
                  <to>
                    <xdr:col>5</xdr:col>
                    <xdr:colOff>0</xdr:colOff>
                    <xdr:row>291</xdr:row>
                    <xdr:rowOff>47625</xdr:rowOff>
                  </to>
                </anchor>
              </controlPr>
            </control>
          </mc:Choice>
        </mc:AlternateContent>
        <mc:AlternateContent xmlns:mc="http://schemas.openxmlformats.org/markup-compatibility/2006">
          <mc:Choice Requires="x14">
            <control shapeId="108803" r:id="rId361" name="Check Box 3331">
              <controlPr defaultSize="0" autoFill="0" autoLine="0" autoPict="0">
                <anchor>
                  <from>
                    <xdr:col>0</xdr:col>
                    <xdr:colOff>0</xdr:colOff>
                    <xdr:row>291</xdr:row>
                    <xdr:rowOff>0</xdr:rowOff>
                  </from>
                  <to>
                    <xdr:col>5</xdr:col>
                    <xdr:colOff>0</xdr:colOff>
                    <xdr:row>292</xdr:row>
                    <xdr:rowOff>47625</xdr:rowOff>
                  </to>
                </anchor>
              </controlPr>
            </control>
          </mc:Choice>
        </mc:AlternateContent>
        <mc:AlternateContent xmlns:mc="http://schemas.openxmlformats.org/markup-compatibility/2006">
          <mc:Choice Requires="x14">
            <control shapeId="108804" r:id="rId362" name="Check Box 3332">
              <controlPr defaultSize="0" autoFill="0" autoLine="0" autoPict="0">
                <anchor>
                  <from>
                    <xdr:col>0</xdr:col>
                    <xdr:colOff>0</xdr:colOff>
                    <xdr:row>292</xdr:row>
                    <xdr:rowOff>0</xdr:rowOff>
                  </from>
                  <to>
                    <xdr:col>5</xdr:col>
                    <xdr:colOff>0</xdr:colOff>
                    <xdr:row>293</xdr:row>
                    <xdr:rowOff>47625</xdr:rowOff>
                  </to>
                </anchor>
              </controlPr>
            </control>
          </mc:Choice>
        </mc:AlternateContent>
        <mc:AlternateContent xmlns:mc="http://schemas.openxmlformats.org/markup-compatibility/2006">
          <mc:Choice Requires="x14">
            <control shapeId="108805" r:id="rId363" name="Check Box 3333">
              <controlPr defaultSize="0" autoFill="0" autoLine="0" autoPict="0">
                <anchor>
                  <from>
                    <xdr:col>0</xdr:col>
                    <xdr:colOff>0</xdr:colOff>
                    <xdr:row>293</xdr:row>
                    <xdr:rowOff>0</xdr:rowOff>
                  </from>
                  <to>
                    <xdr:col>5</xdr:col>
                    <xdr:colOff>0</xdr:colOff>
                    <xdr:row>294</xdr:row>
                    <xdr:rowOff>47625</xdr:rowOff>
                  </to>
                </anchor>
              </controlPr>
            </control>
          </mc:Choice>
        </mc:AlternateContent>
        <mc:AlternateContent xmlns:mc="http://schemas.openxmlformats.org/markup-compatibility/2006">
          <mc:Choice Requires="x14">
            <control shapeId="108806" r:id="rId364" name="Check Box 3334">
              <controlPr defaultSize="0" autoFill="0" autoLine="0" autoPict="0">
                <anchor>
                  <from>
                    <xdr:col>0</xdr:col>
                    <xdr:colOff>0</xdr:colOff>
                    <xdr:row>294</xdr:row>
                    <xdr:rowOff>0</xdr:rowOff>
                  </from>
                  <to>
                    <xdr:col>5</xdr:col>
                    <xdr:colOff>0</xdr:colOff>
                    <xdr:row>295</xdr:row>
                    <xdr:rowOff>47625</xdr:rowOff>
                  </to>
                </anchor>
              </controlPr>
            </control>
          </mc:Choice>
        </mc:AlternateContent>
        <mc:AlternateContent xmlns:mc="http://schemas.openxmlformats.org/markup-compatibility/2006">
          <mc:Choice Requires="x14">
            <control shapeId="108807" r:id="rId365" name="Check Box 3335">
              <controlPr defaultSize="0" autoFill="0" autoLine="0" autoPict="0">
                <anchor>
                  <from>
                    <xdr:col>0</xdr:col>
                    <xdr:colOff>0</xdr:colOff>
                    <xdr:row>295</xdr:row>
                    <xdr:rowOff>0</xdr:rowOff>
                  </from>
                  <to>
                    <xdr:col>5</xdr:col>
                    <xdr:colOff>0</xdr:colOff>
                    <xdr:row>296</xdr:row>
                    <xdr:rowOff>47625</xdr:rowOff>
                  </to>
                </anchor>
              </controlPr>
            </control>
          </mc:Choice>
        </mc:AlternateContent>
        <mc:AlternateContent xmlns:mc="http://schemas.openxmlformats.org/markup-compatibility/2006">
          <mc:Choice Requires="x14">
            <control shapeId="108808" r:id="rId366" name="Check Box 3336">
              <controlPr defaultSize="0" autoFill="0" autoLine="0" autoPict="0">
                <anchor>
                  <from>
                    <xdr:col>0</xdr:col>
                    <xdr:colOff>0</xdr:colOff>
                    <xdr:row>296</xdr:row>
                    <xdr:rowOff>0</xdr:rowOff>
                  </from>
                  <to>
                    <xdr:col>5</xdr:col>
                    <xdr:colOff>0</xdr:colOff>
                    <xdr:row>297</xdr:row>
                    <xdr:rowOff>47625</xdr:rowOff>
                  </to>
                </anchor>
              </controlPr>
            </control>
          </mc:Choice>
        </mc:AlternateContent>
        <mc:AlternateContent xmlns:mc="http://schemas.openxmlformats.org/markup-compatibility/2006">
          <mc:Choice Requires="x14">
            <control shapeId="108809" r:id="rId367" name="Check Box 3337">
              <controlPr defaultSize="0" autoFill="0" autoLine="0" autoPict="0">
                <anchor>
                  <from>
                    <xdr:col>0</xdr:col>
                    <xdr:colOff>0</xdr:colOff>
                    <xdr:row>297</xdr:row>
                    <xdr:rowOff>0</xdr:rowOff>
                  </from>
                  <to>
                    <xdr:col>5</xdr:col>
                    <xdr:colOff>0</xdr:colOff>
                    <xdr:row>298</xdr:row>
                    <xdr:rowOff>47625</xdr:rowOff>
                  </to>
                </anchor>
              </controlPr>
            </control>
          </mc:Choice>
        </mc:AlternateContent>
        <mc:AlternateContent xmlns:mc="http://schemas.openxmlformats.org/markup-compatibility/2006">
          <mc:Choice Requires="x14">
            <control shapeId="108810" r:id="rId368" name="Check Box 3338">
              <controlPr defaultSize="0" autoFill="0" autoLine="0" autoPict="0">
                <anchor>
                  <from>
                    <xdr:col>0</xdr:col>
                    <xdr:colOff>0</xdr:colOff>
                    <xdr:row>298</xdr:row>
                    <xdr:rowOff>0</xdr:rowOff>
                  </from>
                  <to>
                    <xdr:col>5</xdr:col>
                    <xdr:colOff>0</xdr:colOff>
                    <xdr:row>299</xdr:row>
                    <xdr:rowOff>47625</xdr:rowOff>
                  </to>
                </anchor>
              </controlPr>
            </control>
          </mc:Choice>
        </mc:AlternateContent>
        <mc:AlternateContent xmlns:mc="http://schemas.openxmlformats.org/markup-compatibility/2006">
          <mc:Choice Requires="x14">
            <control shapeId="108811" r:id="rId369" name="Check Box 3339">
              <controlPr defaultSize="0" autoFill="0" autoLine="0" autoPict="0">
                <anchor>
                  <from>
                    <xdr:col>0</xdr:col>
                    <xdr:colOff>0</xdr:colOff>
                    <xdr:row>299</xdr:row>
                    <xdr:rowOff>0</xdr:rowOff>
                  </from>
                  <to>
                    <xdr:col>5</xdr:col>
                    <xdr:colOff>0</xdr:colOff>
                    <xdr:row>300</xdr:row>
                    <xdr:rowOff>47625</xdr:rowOff>
                  </to>
                </anchor>
              </controlPr>
            </control>
          </mc:Choice>
        </mc:AlternateContent>
        <mc:AlternateContent xmlns:mc="http://schemas.openxmlformats.org/markup-compatibility/2006">
          <mc:Choice Requires="x14">
            <control shapeId="108812" r:id="rId370" name="Check Box 3340">
              <controlPr defaultSize="0" autoFill="0" autoLine="0" autoPict="0">
                <anchor>
                  <from>
                    <xdr:col>0</xdr:col>
                    <xdr:colOff>0</xdr:colOff>
                    <xdr:row>300</xdr:row>
                    <xdr:rowOff>0</xdr:rowOff>
                  </from>
                  <to>
                    <xdr:col>5</xdr:col>
                    <xdr:colOff>0</xdr:colOff>
                    <xdr:row>301</xdr:row>
                    <xdr:rowOff>47625</xdr:rowOff>
                  </to>
                </anchor>
              </controlPr>
            </control>
          </mc:Choice>
        </mc:AlternateContent>
        <mc:AlternateContent xmlns:mc="http://schemas.openxmlformats.org/markup-compatibility/2006">
          <mc:Choice Requires="x14">
            <control shapeId="108813" r:id="rId371" name="Check Box 3341">
              <controlPr defaultSize="0" autoFill="0" autoLine="0" autoPict="0">
                <anchor>
                  <from>
                    <xdr:col>0</xdr:col>
                    <xdr:colOff>0</xdr:colOff>
                    <xdr:row>301</xdr:row>
                    <xdr:rowOff>0</xdr:rowOff>
                  </from>
                  <to>
                    <xdr:col>5</xdr:col>
                    <xdr:colOff>0</xdr:colOff>
                    <xdr:row>302</xdr:row>
                    <xdr:rowOff>47625</xdr:rowOff>
                  </to>
                </anchor>
              </controlPr>
            </control>
          </mc:Choice>
        </mc:AlternateContent>
        <mc:AlternateContent xmlns:mc="http://schemas.openxmlformats.org/markup-compatibility/2006">
          <mc:Choice Requires="x14">
            <control shapeId="108814" r:id="rId372" name="Check Box 3342">
              <controlPr defaultSize="0" autoFill="0" autoLine="0" autoPict="0">
                <anchor>
                  <from>
                    <xdr:col>0</xdr:col>
                    <xdr:colOff>0</xdr:colOff>
                    <xdr:row>302</xdr:row>
                    <xdr:rowOff>0</xdr:rowOff>
                  </from>
                  <to>
                    <xdr:col>5</xdr:col>
                    <xdr:colOff>0</xdr:colOff>
                    <xdr:row>303</xdr:row>
                    <xdr:rowOff>47625</xdr:rowOff>
                  </to>
                </anchor>
              </controlPr>
            </control>
          </mc:Choice>
        </mc:AlternateContent>
        <mc:AlternateContent xmlns:mc="http://schemas.openxmlformats.org/markup-compatibility/2006">
          <mc:Choice Requires="x14">
            <control shapeId="108815" r:id="rId373" name="Check Box 3343">
              <controlPr defaultSize="0" autoFill="0" autoLine="0" autoPict="0">
                <anchor>
                  <from>
                    <xdr:col>0</xdr:col>
                    <xdr:colOff>0</xdr:colOff>
                    <xdr:row>303</xdr:row>
                    <xdr:rowOff>0</xdr:rowOff>
                  </from>
                  <to>
                    <xdr:col>5</xdr:col>
                    <xdr:colOff>0</xdr:colOff>
                    <xdr:row>304</xdr:row>
                    <xdr:rowOff>47625</xdr:rowOff>
                  </to>
                </anchor>
              </controlPr>
            </control>
          </mc:Choice>
        </mc:AlternateContent>
        <mc:AlternateContent xmlns:mc="http://schemas.openxmlformats.org/markup-compatibility/2006">
          <mc:Choice Requires="x14">
            <control shapeId="108816" r:id="rId374" name="Check Box 3344">
              <controlPr defaultSize="0" autoFill="0" autoLine="0" autoPict="0">
                <anchor>
                  <from>
                    <xdr:col>0</xdr:col>
                    <xdr:colOff>0</xdr:colOff>
                    <xdr:row>304</xdr:row>
                    <xdr:rowOff>0</xdr:rowOff>
                  </from>
                  <to>
                    <xdr:col>5</xdr:col>
                    <xdr:colOff>0</xdr:colOff>
                    <xdr:row>305</xdr:row>
                    <xdr:rowOff>47625</xdr:rowOff>
                  </to>
                </anchor>
              </controlPr>
            </control>
          </mc:Choice>
        </mc:AlternateContent>
        <mc:AlternateContent xmlns:mc="http://schemas.openxmlformats.org/markup-compatibility/2006">
          <mc:Choice Requires="x14">
            <control shapeId="108817" r:id="rId375" name="Check Box 3345">
              <controlPr defaultSize="0" autoFill="0" autoLine="0" autoPict="0">
                <anchor>
                  <from>
                    <xdr:col>0</xdr:col>
                    <xdr:colOff>0</xdr:colOff>
                    <xdr:row>305</xdr:row>
                    <xdr:rowOff>0</xdr:rowOff>
                  </from>
                  <to>
                    <xdr:col>5</xdr:col>
                    <xdr:colOff>0</xdr:colOff>
                    <xdr:row>306</xdr:row>
                    <xdr:rowOff>47625</xdr:rowOff>
                  </to>
                </anchor>
              </controlPr>
            </control>
          </mc:Choice>
        </mc:AlternateContent>
        <mc:AlternateContent xmlns:mc="http://schemas.openxmlformats.org/markup-compatibility/2006">
          <mc:Choice Requires="x14">
            <control shapeId="108818" r:id="rId376" name="Check Box 3346">
              <controlPr defaultSize="0" autoFill="0" autoLine="0" autoPict="0">
                <anchor>
                  <from>
                    <xdr:col>0</xdr:col>
                    <xdr:colOff>0</xdr:colOff>
                    <xdr:row>306</xdr:row>
                    <xdr:rowOff>0</xdr:rowOff>
                  </from>
                  <to>
                    <xdr:col>5</xdr:col>
                    <xdr:colOff>0</xdr:colOff>
                    <xdr:row>307</xdr:row>
                    <xdr:rowOff>47625</xdr:rowOff>
                  </to>
                </anchor>
              </controlPr>
            </control>
          </mc:Choice>
        </mc:AlternateContent>
        <mc:AlternateContent xmlns:mc="http://schemas.openxmlformats.org/markup-compatibility/2006">
          <mc:Choice Requires="x14">
            <control shapeId="108819" r:id="rId377" name="Check Box 3347">
              <controlPr defaultSize="0" autoFill="0" autoLine="0" autoPict="0">
                <anchor>
                  <from>
                    <xdr:col>0</xdr:col>
                    <xdr:colOff>0</xdr:colOff>
                    <xdr:row>307</xdr:row>
                    <xdr:rowOff>0</xdr:rowOff>
                  </from>
                  <to>
                    <xdr:col>5</xdr:col>
                    <xdr:colOff>0</xdr:colOff>
                    <xdr:row>308</xdr:row>
                    <xdr:rowOff>47625</xdr:rowOff>
                  </to>
                </anchor>
              </controlPr>
            </control>
          </mc:Choice>
        </mc:AlternateContent>
        <mc:AlternateContent xmlns:mc="http://schemas.openxmlformats.org/markup-compatibility/2006">
          <mc:Choice Requires="x14">
            <control shapeId="108820" r:id="rId378" name="Check Box 3348">
              <controlPr defaultSize="0" autoFill="0" autoLine="0" autoPict="0">
                <anchor>
                  <from>
                    <xdr:col>0</xdr:col>
                    <xdr:colOff>0</xdr:colOff>
                    <xdr:row>308</xdr:row>
                    <xdr:rowOff>0</xdr:rowOff>
                  </from>
                  <to>
                    <xdr:col>5</xdr:col>
                    <xdr:colOff>0</xdr:colOff>
                    <xdr:row>309</xdr:row>
                    <xdr:rowOff>47625</xdr:rowOff>
                  </to>
                </anchor>
              </controlPr>
            </control>
          </mc:Choice>
        </mc:AlternateContent>
        <mc:AlternateContent xmlns:mc="http://schemas.openxmlformats.org/markup-compatibility/2006">
          <mc:Choice Requires="x14">
            <control shapeId="108821" r:id="rId379" name="Check Box 3349">
              <controlPr defaultSize="0" autoFill="0" autoLine="0" autoPict="0">
                <anchor>
                  <from>
                    <xdr:col>0</xdr:col>
                    <xdr:colOff>0</xdr:colOff>
                    <xdr:row>309</xdr:row>
                    <xdr:rowOff>0</xdr:rowOff>
                  </from>
                  <to>
                    <xdr:col>5</xdr:col>
                    <xdr:colOff>0</xdr:colOff>
                    <xdr:row>310</xdr:row>
                    <xdr:rowOff>47625</xdr:rowOff>
                  </to>
                </anchor>
              </controlPr>
            </control>
          </mc:Choice>
        </mc:AlternateContent>
        <mc:AlternateContent xmlns:mc="http://schemas.openxmlformats.org/markup-compatibility/2006">
          <mc:Choice Requires="x14">
            <control shapeId="108822" r:id="rId380" name="Check Box 3350">
              <controlPr defaultSize="0" autoFill="0" autoLine="0" autoPict="0">
                <anchor>
                  <from>
                    <xdr:col>0</xdr:col>
                    <xdr:colOff>0</xdr:colOff>
                    <xdr:row>310</xdr:row>
                    <xdr:rowOff>0</xdr:rowOff>
                  </from>
                  <to>
                    <xdr:col>5</xdr:col>
                    <xdr:colOff>0</xdr:colOff>
                    <xdr:row>311</xdr:row>
                    <xdr:rowOff>47625</xdr:rowOff>
                  </to>
                </anchor>
              </controlPr>
            </control>
          </mc:Choice>
        </mc:AlternateContent>
        <mc:AlternateContent xmlns:mc="http://schemas.openxmlformats.org/markup-compatibility/2006">
          <mc:Choice Requires="x14">
            <control shapeId="108823" r:id="rId381" name="Check Box 3351">
              <controlPr defaultSize="0" autoFill="0" autoLine="0" autoPict="0">
                <anchor>
                  <from>
                    <xdr:col>0</xdr:col>
                    <xdr:colOff>0</xdr:colOff>
                    <xdr:row>311</xdr:row>
                    <xdr:rowOff>0</xdr:rowOff>
                  </from>
                  <to>
                    <xdr:col>5</xdr:col>
                    <xdr:colOff>0</xdr:colOff>
                    <xdr:row>312</xdr:row>
                    <xdr:rowOff>47625</xdr:rowOff>
                  </to>
                </anchor>
              </controlPr>
            </control>
          </mc:Choice>
        </mc:AlternateContent>
        <mc:AlternateContent xmlns:mc="http://schemas.openxmlformats.org/markup-compatibility/2006">
          <mc:Choice Requires="x14">
            <control shapeId="108824" r:id="rId382" name="Check Box 3352">
              <controlPr defaultSize="0" autoFill="0" autoLine="0" autoPict="0">
                <anchor>
                  <from>
                    <xdr:col>0</xdr:col>
                    <xdr:colOff>0</xdr:colOff>
                    <xdr:row>312</xdr:row>
                    <xdr:rowOff>0</xdr:rowOff>
                  </from>
                  <to>
                    <xdr:col>5</xdr:col>
                    <xdr:colOff>0</xdr:colOff>
                    <xdr:row>313</xdr:row>
                    <xdr:rowOff>47625</xdr:rowOff>
                  </to>
                </anchor>
              </controlPr>
            </control>
          </mc:Choice>
        </mc:AlternateContent>
        <mc:AlternateContent xmlns:mc="http://schemas.openxmlformats.org/markup-compatibility/2006">
          <mc:Choice Requires="x14">
            <control shapeId="108825" r:id="rId383" name="Check Box 3353">
              <controlPr defaultSize="0" autoFill="0" autoLine="0" autoPict="0">
                <anchor>
                  <from>
                    <xdr:col>0</xdr:col>
                    <xdr:colOff>0</xdr:colOff>
                    <xdr:row>313</xdr:row>
                    <xdr:rowOff>0</xdr:rowOff>
                  </from>
                  <to>
                    <xdr:col>5</xdr:col>
                    <xdr:colOff>0</xdr:colOff>
                    <xdr:row>314</xdr:row>
                    <xdr:rowOff>47625</xdr:rowOff>
                  </to>
                </anchor>
              </controlPr>
            </control>
          </mc:Choice>
        </mc:AlternateContent>
        <mc:AlternateContent xmlns:mc="http://schemas.openxmlformats.org/markup-compatibility/2006">
          <mc:Choice Requires="x14">
            <control shapeId="108826" r:id="rId384" name="Check Box 3354">
              <controlPr defaultSize="0" autoFill="0" autoLine="0" autoPict="0">
                <anchor>
                  <from>
                    <xdr:col>0</xdr:col>
                    <xdr:colOff>0</xdr:colOff>
                    <xdr:row>314</xdr:row>
                    <xdr:rowOff>0</xdr:rowOff>
                  </from>
                  <to>
                    <xdr:col>5</xdr:col>
                    <xdr:colOff>0</xdr:colOff>
                    <xdr:row>315</xdr:row>
                    <xdr:rowOff>47625</xdr:rowOff>
                  </to>
                </anchor>
              </controlPr>
            </control>
          </mc:Choice>
        </mc:AlternateContent>
        <mc:AlternateContent xmlns:mc="http://schemas.openxmlformats.org/markup-compatibility/2006">
          <mc:Choice Requires="x14">
            <control shapeId="108827" r:id="rId385" name="Check Box 3355">
              <controlPr defaultSize="0" autoFill="0" autoLine="0" autoPict="0">
                <anchor>
                  <from>
                    <xdr:col>0</xdr:col>
                    <xdr:colOff>0</xdr:colOff>
                    <xdr:row>315</xdr:row>
                    <xdr:rowOff>0</xdr:rowOff>
                  </from>
                  <to>
                    <xdr:col>5</xdr:col>
                    <xdr:colOff>0</xdr:colOff>
                    <xdr:row>316</xdr:row>
                    <xdr:rowOff>47625</xdr:rowOff>
                  </to>
                </anchor>
              </controlPr>
            </control>
          </mc:Choice>
        </mc:AlternateContent>
        <mc:AlternateContent xmlns:mc="http://schemas.openxmlformats.org/markup-compatibility/2006">
          <mc:Choice Requires="x14">
            <control shapeId="108828" r:id="rId386" name="Check Box 3356">
              <controlPr defaultSize="0" autoFill="0" autoLine="0" autoPict="0">
                <anchor>
                  <from>
                    <xdr:col>0</xdr:col>
                    <xdr:colOff>0</xdr:colOff>
                    <xdr:row>316</xdr:row>
                    <xdr:rowOff>0</xdr:rowOff>
                  </from>
                  <to>
                    <xdr:col>5</xdr:col>
                    <xdr:colOff>0</xdr:colOff>
                    <xdr:row>317</xdr:row>
                    <xdr:rowOff>47625</xdr:rowOff>
                  </to>
                </anchor>
              </controlPr>
            </control>
          </mc:Choice>
        </mc:AlternateContent>
        <mc:AlternateContent xmlns:mc="http://schemas.openxmlformats.org/markup-compatibility/2006">
          <mc:Choice Requires="x14">
            <control shapeId="108829" r:id="rId387" name="Check Box 3357">
              <controlPr defaultSize="0" autoFill="0" autoLine="0" autoPict="0">
                <anchor>
                  <from>
                    <xdr:col>0</xdr:col>
                    <xdr:colOff>0</xdr:colOff>
                    <xdr:row>317</xdr:row>
                    <xdr:rowOff>0</xdr:rowOff>
                  </from>
                  <to>
                    <xdr:col>5</xdr:col>
                    <xdr:colOff>0</xdr:colOff>
                    <xdr:row>318</xdr:row>
                    <xdr:rowOff>47625</xdr:rowOff>
                  </to>
                </anchor>
              </controlPr>
            </control>
          </mc:Choice>
        </mc:AlternateContent>
        <mc:AlternateContent xmlns:mc="http://schemas.openxmlformats.org/markup-compatibility/2006">
          <mc:Choice Requires="x14">
            <control shapeId="108830" r:id="rId388" name="Check Box 3358">
              <controlPr defaultSize="0" autoFill="0" autoLine="0" autoPict="0">
                <anchor>
                  <from>
                    <xdr:col>0</xdr:col>
                    <xdr:colOff>0</xdr:colOff>
                    <xdr:row>318</xdr:row>
                    <xdr:rowOff>0</xdr:rowOff>
                  </from>
                  <to>
                    <xdr:col>5</xdr:col>
                    <xdr:colOff>0</xdr:colOff>
                    <xdr:row>319</xdr:row>
                    <xdr:rowOff>47625</xdr:rowOff>
                  </to>
                </anchor>
              </controlPr>
            </control>
          </mc:Choice>
        </mc:AlternateContent>
        <mc:AlternateContent xmlns:mc="http://schemas.openxmlformats.org/markup-compatibility/2006">
          <mc:Choice Requires="x14">
            <control shapeId="108831" r:id="rId389" name="Check Box 3359">
              <controlPr defaultSize="0" autoFill="0" autoLine="0" autoPict="0">
                <anchor>
                  <from>
                    <xdr:col>0</xdr:col>
                    <xdr:colOff>0</xdr:colOff>
                    <xdr:row>319</xdr:row>
                    <xdr:rowOff>0</xdr:rowOff>
                  </from>
                  <to>
                    <xdr:col>5</xdr:col>
                    <xdr:colOff>0</xdr:colOff>
                    <xdr:row>320</xdr:row>
                    <xdr:rowOff>47625</xdr:rowOff>
                  </to>
                </anchor>
              </controlPr>
            </control>
          </mc:Choice>
        </mc:AlternateContent>
        <mc:AlternateContent xmlns:mc="http://schemas.openxmlformats.org/markup-compatibility/2006">
          <mc:Choice Requires="x14">
            <control shapeId="108832" r:id="rId390" name="Check Box 3360">
              <controlPr defaultSize="0" autoFill="0" autoLine="0" autoPict="0">
                <anchor>
                  <from>
                    <xdr:col>0</xdr:col>
                    <xdr:colOff>0</xdr:colOff>
                    <xdr:row>320</xdr:row>
                    <xdr:rowOff>0</xdr:rowOff>
                  </from>
                  <to>
                    <xdr:col>5</xdr:col>
                    <xdr:colOff>0</xdr:colOff>
                    <xdr:row>321</xdr:row>
                    <xdr:rowOff>47625</xdr:rowOff>
                  </to>
                </anchor>
              </controlPr>
            </control>
          </mc:Choice>
        </mc:AlternateContent>
        <mc:AlternateContent xmlns:mc="http://schemas.openxmlformats.org/markup-compatibility/2006">
          <mc:Choice Requires="x14">
            <control shapeId="108833" r:id="rId391" name="Check Box 3361">
              <controlPr defaultSize="0" autoFill="0" autoLine="0" autoPict="0">
                <anchor>
                  <from>
                    <xdr:col>0</xdr:col>
                    <xdr:colOff>0</xdr:colOff>
                    <xdr:row>321</xdr:row>
                    <xdr:rowOff>0</xdr:rowOff>
                  </from>
                  <to>
                    <xdr:col>5</xdr:col>
                    <xdr:colOff>0</xdr:colOff>
                    <xdr:row>322</xdr:row>
                    <xdr:rowOff>47625</xdr:rowOff>
                  </to>
                </anchor>
              </controlPr>
            </control>
          </mc:Choice>
        </mc:AlternateContent>
        <mc:AlternateContent xmlns:mc="http://schemas.openxmlformats.org/markup-compatibility/2006">
          <mc:Choice Requires="x14">
            <control shapeId="108834" r:id="rId392" name="Check Box 3362">
              <controlPr defaultSize="0" autoFill="0" autoLine="0" autoPict="0">
                <anchor>
                  <from>
                    <xdr:col>0</xdr:col>
                    <xdr:colOff>0</xdr:colOff>
                    <xdr:row>322</xdr:row>
                    <xdr:rowOff>0</xdr:rowOff>
                  </from>
                  <to>
                    <xdr:col>5</xdr:col>
                    <xdr:colOff>0</xdr:colOff>
                    <xdr:row>323</xdr:row>
                    <xdr:rowOff>47625</xdr:rowOff>
                  </to>
                </anchor>
              </controlPr>
            </control>
          </mc:Choice>
        </mc:AlternateContent>
        <mc:AlternateContent xmlns:mc="http://schemas.openxmlformats.org/markup-compatibility/2006">
          <mc:Choice Requires="x14">
            <control shapeId="108835" r:id="rId393" name="Check Box 3363">
              <controlPr defaultSize="0" autoFill="0" autoLine="0" autoPict="0">
                <anchor>
                  <from>
                    <xdr:col>0</xdr:col>
                    <xdr:colOff>0</xdr:colOff>
                    <xdr:row>323</xdr:row>
                    <xdr:rowOff>0</xdr:rowOff>
                  </from>
                  <to>
                    <xdr:col>5</xdr:col>
                    <xdr:colOff>0</xdr:colOff>
                    <xdr:row>324</xdr:row>
                    <xdr:rowOff>47625</xdr:rowOff>
                  </to>
                </anchor>
              </controlPr>
            </control>
          </mc:Choice>
        </mc:AlternateContent>
        <mc:AlternateContent xmlns:mc="http://schemas.openxmlformats.org/markup-compatibility/2006">
          <mc:Choice Requires="x14">
            <control shapeId="108836" r:id="rId394" name="Check Box 3364">
              <controlPr defaultSize="0" autoFill="0" autoLine="0" autoPict="0">
                <anchor>
                  <from>
                    <xdr:col>0</xdr:col>
                    <xdr:colOff>0</xdr:colOff>
                    <xdr:row>324</xdr:row>
                    <xdr:rowOff>0</xdr:rowOff>
                  </from>
                  <to>
                    <xdr:col>5</xdr:col>
                    <xdr:colOff>0</xdr:colOff>
                    <xdr:row>325</xdr:row>
                    <xdr:rowOff>47625</xdr:rowOff>
                  </to>
                </anchor>
              </controlPr>
            </control>
          </mc:Choice>
        </mc:AlternateContent>
        <mc:AlternateContent xmlns:mc="http://schemas.openxmlformats.org/markup-compatibility/2006">
          <mc:Choice Requires="x14">
            <control shapeId="108837" r:id="rId395" name="Check Box 3365">
              <controlPr defaultSize="0" autoFill="0" autoLine="0" autoPict="0">
                <anchor>
                  <from>
                    <xdr:col>0</xdr:col>
                    <xdr:colOff>0</xdr:colOff>
                    <xdr:row>325</xdr:row>
                    <xdr:rowOff>0</xdr:rowOff>
                  </from>
                  <to>
                    <xdr:col>5</xdr:col>
                    <xdr:colOff>0</xdr:colOff>
                    <xdr:row>326</xdr:row>
                    <xdr:rowOff>47625</xdr:rowOff>
                  </to>
                </anchor>
              </controlPr>
            </control>
          </mc:Choice>
        </mc:AlternateContent>
        <mc:AlternateContent xmlns:mc="http://schemas.openxmlformats.org/markup-compatibility/2006">
          <mc:Choice Requires="x14">
            <control shapeId="108838" r:id="rId396" name="Check Box 3366">
              <controlPr defaultSize="0" autoFill="0" autoLine="0" autoPict="0">
                <anchor>
                  <from>
                    <xdr:col>0</xdr:col>
                    <xdr:colOff>0</xdr:colOff>
                    <xdr:row>326</xdr:row>
                    <xdr:rowOff>0</xdr:rowOff>
                  </from>
                  <to>
                    <xdr:col>5</xdr:col>
                    <xdr:colOff>0</xdr:colOff>
                    <xdr:row>327</xdr:row>
                    <xdr:rowOff>47625</xdr:rowOff>
                  </to>
                </anchor>
              </controlPr>
            </control>
          </mc:Choice>
        </mc:AlternateContent>
        <mc:AlternateContent xmlns:mc="http://schemas.openxmlformats.org/markup-compatibility/2006">
          <mc:Choice Requires="x14">
            <control shapeId="108839" r:id="rId397" name="Check Box 3367">
              <controlPr defaultSize="0" autoFill="0" autoLine="0" autoPict="0">
                <anchor>
                  <from>
                    <xdr:col>0</xdr:col>
                    <xdr:colOff>0</xdr:colOff>
                    <xdr:row>327</xdr:row>
                    <xdr:rowOff>0</xdr:rowOff>
                  </from>
                  <to>
                    <xdr:col>5</xdr:col>
                    <xdr:colOff>0</xdr:colOff>
                    <xdr:row>328</xdr:row>
                    <xdr:rowOff>47625</xdr:rowOff>
                  </to>
                </anchor>
              </controlPr>
            </control>
          </mc:Choice>
        </mc:AlternateContent>
        <mc:AlternateContent xmlns:mc="http://schemas.openxmlformats.org/markup-compatibility/2006">
          <mc:Choice Requires="x14">
            <control shapeId="108840" r:id="rId398" name="Check Box 3368">
              <controlPr defaultSize="0" autoFill="0" autoLine="0" autoPict="0">
                <anchor>
                  <from>
                    <xdr:col>0</xdr:col>
                    <xdr:colOff>0</xdr:colOff>
                    <xdr:row>328</xdr:row>
                    <xdr:rowOff>0</xdr:rowOff>
                  </from>
                  <to>
                    <xdr:col>5</xdr:col>
                    <xdr:colOff>0</xdr:colOff>
                    <xdr:row>329</xdr:row>
                    <xdr:rowOff>47625</xdr:rowOff>
                  </to>
                </anchor>
              </controlPr>
            </control>
          </mc:Choice>
        </mc:AlternateContent>
        <mc:AlternateContent xmlns:mc="http://schemas.openxmlformats.org/markup-compatibility/2006">
          <mc:Choice Requires="x14">
            <control shapeId="108841" r:id="rId399" name="Check Box 3369">
              <controlPr defaultSize="0" autoFill="0" autoLine="0" autoPict="0">
                <anchor>
                  <from>
                    <xdr:col>0</xdr:col>
                    <xdr:colOff>0</xdr:colOff>
                    <xdr:row>329</xdr:row>
                    <xdr:rowOff>0</xdr:rowOff>
                  </from>
                  <to>
                    <xdr:col>5</xdr:col>
                    <xdr:colOff>0</xdr:colOff>
                    <xdr:row>330</xdr:row>
                    <xdr:rowOff>47625</xdr:rowOff>
                  </to>
                </anchor>
              </controlPr>
            </control>
          </mc:Choice>
        </mc:AlternateContent>
        <mc:AlternateContent xmlns:mc="http://schemas.openxmlformats.org/markup-compatibility/2006">
          <mc:Choice Requires="x14">
            <control shapeId="108842" r:id="rId400" name="Check Box 3370">
              <controlPr defaultSize="0" autoFill="0" autoLine="0" autoPict="0">
                <anchor>
                  <from>
                    <xdr:col>0</xdr:col>
                    <xdr:colOff>0</xdr:colOff>
                    <xdr:row>330</xdr:row>
                    <xdr:rowOff>0</xdr:rowOff>
                  </from>
                  <to>
                    <xdr:col>5</xdr:col>
                    <xdr:colOff>0</xdr:colOff>
                    <xdr:row>331</xdr:row>
                    <xdr:rowOff>47625</xdr:rowOff>
                  </to>
                </anchor>
              </controlPr>
            </control>
          </mc:Choice>
        </mc:AlternateContent>
        <mc:AlternateContent xmlns:mc="http://schemas.openxmlformats.org/markup-compatibility/2006">
          <mc:Choice Requires="x14">
            <control shapeId="108843" r:id="rId401" name="Check Box 3371">
              <controlPr defaultSize="0" autoFill="0" autoLine="0" autoPict="0">
                <anchor>
                  <from>
                    <xdr:col>0</xdr:col>
                    <xdr:colOff>0</xdr:colOff>
                    <xdr:row>331</xdr:row>
                    <xdr:rowOff>0</xdr:rowOff>
                  </from>
                  <to>
                    <xdr:col>5</xdr:col>
                    <xdr:colOff>0</xdr:colOff>
                    <xdr:row>332</xdr:row>
                    <xdr:rowOff>47625</xdr:rowOff>
                  </to>
                </anchor>
              </controlPr>
            </control>
          </mc:Choice>
        </mc:AlternateContent>
        <mc:AlternateContent xmlns:mc="http://schemas.openxmlformats.org/markup-compatibility/2006">
          <mc:Choice Requires="x14">
            <control shapeId="108844" r:id="rId402" name="Check Box 3372">
              <controlPr defaultSize="0" autoFill="0" autoLine="0" autoPict="0">
                <anchor>
                  <from>
                    <xdr:col>0</xdr:col>
                    <xdr:colOff>0</xdr:colOff>
                    <xdr:row>332</xdr:row>
                    <xdr:rowOff>0</xdr:rowOff>
                  </from>
                  <to>
                    <xdr:col>5</xdr:col>
                    <xdr:colOff>0</xdr:colOff>
                    <xdr:row>333</xdr:row>
                    <xdr:rowOff>47625</xdr:rowOff>
                  </to>
                </anchor>
              </controlPr>
            </control>
          </mc:Choice>
        </mc:AlternateContent>
        <mc:AlternateContent xmlns:mc="http://schemas.openxmlformats.org/markup-compatibility/2006">
          <mc:Choice Requires="x14">
            <control shapeId="108845" r:id="rId403" name="Check Box 3373">
              <controlPr defaultSize="0" autoFill="0" autoLine="0" autoPict="0">
                <anchor>
                  <from>
                    <xdr:col>0</xdr:col>
                    <xdr:colOff>0</xdr:colOff>
                    <xdr:row>333</xdr:row>
                    <xdr:rowOff>0</xdr:rowOff>
                  </from>
                  <to>
                    <xdr:col>5</xdr:col>
                    <xdr:colOff>0</xdr:colOff>
                    <xdr:row>334</xdr:row>
                    <xdr:rowOff>47625</xdr:rowOff>
                  </to>
                </anchor>
              </controlPr>
            </control>
          </mc:Choice>
        </mc:AlternateContent>
        <mc:AlternateContent xmlns:mc="http://schemas.openxmlformats.org/markup-compatibility/2006">
          <mc:Choice Requires="x14">
            <control shapeId="108846" r:id="rId404" name="Check Box 3374">
              <controlPr defaultSize="0" autoFill="0" autoLine="0" autoPict="0">
                <anchor>
                  <from>
                    <xdr:col>0</xdr:col>
                    <xdr:colOff>0</xdr:colOff>
                    <xdr:row>334</xdr:row>
                    <xdr:rowOff>0</xdr:rowOff>
                  </from>
                  <to>
                    <xdr:col>5</xdr:col>
                    <xdr:colOff>0</xdr:colOff>
                    <xdr:row>335</xdr:row>
                    <xdr:rowOff>47625</xdr:rowOff>
                  </to>
                </anchor>
              </controlPr>
            </control>
          </mc:Choice>
        </mc:AlternateContent>
        <mc:AlternateContent xmlns:mc="http://schemas.openxmlformats.org/markup-compatibility/2006">
          <mc:Choice Requires="x14">
            <control shapeId="108847" r:id="rId405" name="Check Box 3375">
              <controlPr defaultSize="0" autoFill="0" autoLine="0" autoPict="0">
                <anchor>
                  <from>
                    <xdr:col>0</xdr:col>
                    <xdr:colOff>0</xdr:colOff>
                    <xdr:row>335</xdr:row>
                    <xdr:rowOff>0</xdr:rowOff>
                  </from>
                  <to>
                    <xdr:col>5</xdr:col>
                    <xdr:colOff>0</xdr:colOff>
                    <xdr:row>336</xdr:row>
                    <xdr:rowOff>47625</xdr:rowOff>
                  </to>
                </anchor>
              </controlPr>
            </control>
          </mc:Choice>
        </mc:AlternateContent>
        <mc:AlternateContent xmlns:mc="http://schemas.openxmlformats.org/markup-compatibility/2006">
          <mc:Choice Requires="x14">
            <control shapeId="108848" r:id="rId406" name="Check Box 3376">
              <controlPr defaultSize="0" autoFill="0" autoLine="0" autoPict="0">
                <anchor>
                  <from>
                    <xdr:col>0</xdr:col>
                    <xdr:colOff>0</xdr:colOff>
                    <xdr:row>336</xdr:row>
                    <xdr:rowOff>0</xdr:rowOff>
                  </from>
                  <to>
                    <xdr:col>5</xdr:col>
                    <xdr:colOff>0</xdr:colOff>
                    <xdr:row>337</xdr:row>
                    <xdr:rowOff>47625</xdr:rowOff>
                  </to>
                </anchor>
              </controlPr>
            </control>
          </mc:Choice>
        </mc:AlternateContent>
        <mc:AlternateContent xmlns:mc="http://schemas.openxmlformats.org/markup-compatibility/2006">
          <mc:Choice Requires="x14">
            <control shapeId="108849" r:id="rId407" name="Check Box 3377">
              <controlPr defaultSize="0" autoFill="0" autoLine="0" autoPict="0">
                <anchor>
                  <from>
                    <xdr:col>0</xdr:col>
                    <xdr:colOff>0</xdr:colOff>
                    <xdr:row>337</xdr:row>
                    <xdr:rowOff>0</xdr:rowOff>
                  </from>
                  <to>
                    <xdr:col>5</xdr:col>
                    <xdr:colOff>0</xdr:colOff>
                    <xdr:row>338</xdr:row>
                    <xdr:rowOff>47625</xdr:rowOff>
                  </to>
                </anchor>
              </controlPr>
            </control>
          </mc:Choice>
        </mc:AlternateContent>
        <mc:AlternateContent xmlns:mc="http://schemas.openxmlformats.org/markup-compatibility/2006">
          <mc:Choice Requires="x14">
            <control shapeId="108850" r:id="rId408" name="Check Box 3378">
              <controlPr defaultSize="0" autoFill="0" autoLine="0" autoPict="0">
                <anchor>
                  <from>
                    <xdr:col>0</xdr:col>
                    <xdr:colOff>0</xdr:colOff>
                    <xdr:row>338</xdr:row>
                    <xdr:rowOff>0</xdr:rowOff>
                  </from>
                  <to>
                    <xdr:col>5</xdr:col>
                    <xdr:colOff>0</xdr:colOff>
                    <xdr:row>339</xdr:row>
                    <xdr:rowOff>47625</xdr:rowOff>
                  </to>
                </anchor>
              </controlPr>
            </control>
          </mc:Choice>
        </mc:AlternateContent>
        <mc:AlternateContent xmlns:mc="http://schemas.openxmlformats.org/markup-compatibility/2006">
          <mc:Choice Requires="x14">
            <control shapeId="108851" r:id="rId409" name="Check Box 3379">
              <controlPr defaultSize="0" autoFill="0" autoLine="0" autoPict="0">
                <anchor>
                  <from>
                    <xdr:col>0</xdr:col>
                    <xdr:colOff>0</xdr:colOff>
                    <xdr:row>339</xdr:row>
                    <xdr:rowOff>0</xdr:rowOff>
                  </from>
                  <to>
                    <xdr:col>5</xdr:col>
                    <xdr:colOff>0</xdr:colOff>
                    <xdr:row>340</xdr:row>
                    <xdr:rowOff>47625</xdr:rowOff>
                  </to>
                </anchor>
              </controlPr>
            </control>
          </mc:Choice>
        </mc:AlternateContent>
        <mc:AlternateContent xmlns:mc="http://schemas.openxmlformats.org/markup-compatibility/2006">
          <mc:Choice Requires="x14">
            <control shapeId="108852" r:id="rId410" name="Check Box 3380">
              <controlPr defaultSize="0" autoFill="0" autoLine="0" autoPict="0">
                <anchor>
                  <from>
                    <xdr:col>0</xdr:col>
                    <xdr:colOff>0</xdr:colOff>
                    <xdr:row>340</xdr:row>
                    <xdr:rowOff>0</xdr:rowOff>
                  </from>
                  <to>
                    <xdr:col>5</xdr:col>
                    <xdr:colOff>0</xdr:colOff>
                    <xdr:row>341</xdr:row>
                    <xdr:rowOff>47625</xdr:rowOff>
                  </to>
                </anchor>
              </controlPr>
            </control>
          </mc:Choice>
        </mc:AlternateContent>
        <mc:AlternateContent xmlns:mc="http://schemas.openxmlformats.org/markup-compatibility/2006">
          <mc:Choice Requires="x14">
            <control shapeId="108853" r:id="rId411" name="Check Box 3381">
              <controlPr defaultSize="0" autoFill="0" autoLine="0" autoPict="0">
                <anchor>
                  <from>
                    <xdr:col>0</xdr:col>
                    <xdr:colOff>0</xdr:colOff>
                    <xdr:row>341</xdr:row>
                    <xdr:rowOff>0</xdr:rowOff>
                  </from>
                  <to>
                    <xdr:col>5</xdr:col>
                    <xdr:colOff>0</xdr:colOff>
                    <xdr:row>342</xdr:row>
                    <xdr:rowOff>47625</xdr:rowOff>
                  </to>
                </anchor>
              </controlPr>
            </control>
          </mc:Choice>
        </mc:AlternateContent>
        <mc:AlternateContent xmlns:mc="http://schemas.openxmlformats.org/markup-compatibility/2006">
          <mc:Choice Requires="x14">
            <control shapeId="108854" r:id="rId412" name="Check Box 3382">
              <controlPr defaultSize="0" autoFill="0" autoLine="0" autoPict="0">
                <anchor>
                  <from>
                    <xdr:col>0</xdr:col>
                    <xdr:colOff>0</xdr:colOff>
                    <xdr:row>342</xdr:row>
                    <xdr:rowOff>0</xdr:rowOff>
                  </from>
                  <to>
                    <xdr:col>5</xdr:col>
                    <xdr:colOff>0</xdr:colOff>
                    <xdr:row>343</xdr:row>
                    <xdr:rowOff>47625</xdr:rowOff>
                  </to>
                </anchor>
              </controlPr>
            </control>
          </mc:Choice>
        </mc:AlternateContent>
        <mc:AlternateContent xmlns:mc="http://schemas.openxmlformats.org/markup-compatibility/2006">
          <mc:Choice Requires="x14">
            <control shapeId="108855" r:id="rId413" name="Check Box 3383">
              <controlPr defaultSize="0" autoFill="0" autoLine="0" autoPict="0">
                <anchor>
                  <from>
                    <xdr:col>0</xdr:col>
                    <xdr:colOff>0</xdr:colOff>
                    <xdr:row>343</xdr:row>
                    <xdr:rowOff>0</xdr:rowOff>
                  </from>
                  <to>
                    <xdr:col>5</xdr:col>
                    <xdr:colOff>0</xdr:colOff>
                    <xdr:row>344</xdr:row>
                    <xdr:rowOff>47625</xdr:rowOff>
                  </to>
                </anchor>
              </controlPr>
            </control>
          </mc:Choice>
        </mc:AlternateContent>
        <mc:AlternateContent xmlns:mc="http://schemas.openxmlformats.org/markup-compatibility/2006">
          <mc:Choice Requires="x14">
            <control shapeId="108856" r:id="rId414" name="Check Box 3384">
              <controlPr defaultSize="0" autoFill="0" autoLine="0" autoPict="0">
                <anchor>
                  <from>
                    <xdr:col>0</xdr:col>
                    <xdr:colOff>0</xdr:colOff>
                    <xdr:row>344</xdr:row>
                    <xdr:rowOff>0</xdr:rowOff>
                  </from>
                  <to>
                    <xdr:col>5</xdr:col>
                    <xdr:colOff>0</xdr:colOff>
                    <xdr:row>345</xdr:row>
                    <xdr:rowOff>47625</xdr:rowOff>
                  </to>
                </anchor>
              </controlPr>
            </control>
          </mc:Choice>
        </mc:AlternateContent>
        <mc:AlternateContent xmlns:mc="http://schemas.openxmlformats.org/markup-compatibility/2006">
          <mc:Choice Requires="x14">
            <control shapeId="108857" r:id="rId415" name="Check Box 3385">
              <controlPr defaultSize="0" autoFill="0" autoLine="0" autoPict="0">
                <anchor>
                  <from>
                    <xdr:col>0</xdr:col>
                    <xdr:colOff>0</xdr:colOff>
                    <xdr:row>345</xdr:row>
                    <xdr:rowOff>0</xdr:rowOff>
                  </from>
                  <to>
                    <xdr:col>5</xdr:col>
                    <xdr:colOff>0</xdr:colOff>
                    <xdr:row>346</xdr:row>
                    <xdr:rowOff>47625</xdr:rowOff>
                  </to>
                </anchor>
              </controlPr>
            </control>
          </mc:Choice>
        </mc:AlternateContent>
        <mc:AlternateContent xmlns:mc="http://schemas.openxmlformats.org/markup-compatibility/2006">
          <mc:Choice Requires="x14">
            <control shapeId="108858" r:id="rId416" name="Check Box 3386">
              <controlPr defaultSize="0" autoFill="0" autoLine="0" autoPict="0">
                <anchor>
                  <from>
                    <xdr:col>0</xdr:col>
                    <xdr:colOff>0</xdr:colOff>
                    <xdr:row>346</xdr:row>
                    <xdr:rowOff>0</xdr:rowOff>
                  </from>
                  <to>
                    <xdr:col>5</xdr:col>
                    <xdr:colOff>0</xdr:colOff>
                    <xdr:row>347</xdr:row>
                    <xdr:rowOff>47625</xdr:rowOff>
                  </to>
                </anchor>
              </controlPr>
            </control>
          </mc:Choice>
        </mc:AlternateContent>
        <mc:AlternateContent xmlns:mc="http://schemas.openxmlformats.org/markup-compatibility/2006">
          <mc:Choice Requires="x14">
            <control shapeId="108859" r:id="rId417" name="Check Box 3387">
              <controlPr defaultSize="0" autoFill="0" autoLine="0" autoPict="0">
                <anchor>
                  <from>
                    <xdr:col>0</xdr:col>
                    <xdr:colOff>0</xdr:colOff>
                    <xdr:row>347</xdr:row>
                    <xdr:rowOff>0</xdr:rowOff>
                  </from>
                  <to>
                    <xdr:col>5</xdr:col>
                    <xdr:colOff>0</xdr:colOff>
                    <xdr:row>348</xdr:row>
                    <xdr:rowOff>47625</xdr:rowOff>
                  </to>
                </anchor>
              </controlPr>
            </control>
          </mc:Choice>
        </mc:AlternateContent>
        <mc:AlternateContent xmlns:mc="http://schemas.openxmlformats.org/markup-compatibility/2006">
          <mc:Choice Requires="x14">
            <control shapeId="108860" r:id="rId418" name="Check Box 3388">
              <controlPr defaultSize="0" autoFill="0" autoLine="0" autoPict="0">
                <anchor>
                  <from>
                    <xdr:col>0</xdr:col>
                    <xdr:colOff>0</xdr:colOff>
                    <xdr:row>348</xdr:row>
                    <xdr:rowOff>0</xdr:rowOff>
                  </from>
                  <to>
                    <xdr:col>5</xdr:col>
                    <xdr:colOff>0</xdr:colOff>
                    <xdr:row>349</xdr:row>
                    <xdr:rowOff>47625</xdr:rowOff>
                  </to>
                </anchor>
              </controlPr>
            </control>
          </mc:Choice>
        </mc:AlternateContent>
        <mc:AlternateContent xmlns:mc="http://schemas.openxmlformats.org/markup-compatibility/2006">
          <mc:Choice Requires="x14">
            <control shapeId="108861" r:id="rId419" name="Check Box 3389">
              <controlPr defaultSize="0" autoFill="0" autoLine="0" autoPict="0">
                <anchor>
                  <from>
                    <xdr:col>0</xdr:col>
                    <xdr:colOff>0</xdr:colOff>
                    <xdr:row>349</xdr:row>
                    <xdr:rowOff>0</xdr:rowOff>
                  </from>
                  <to>
                    <xdr:col>5</xdr:col>
                    <xdr:colOff>0</xdr:colOff>
                    <xdr:row>350</xdr:row>
                    <xdr:rowOff>47625</xdr:rowOff>
                  </to>
                </anchor>
              </controlPr>
            </control>
          </mc:Choice>
        </mc:AlternateContent>
        <mc:AlternateContent xmlns:mc="http://schemas.openxmlformats.org/markup-compatibility/2006">
          <mc:Choice Requires="x14">
            <control shapeId="108862" r:id="rId420" name="Check Box 3390">
              <controlPr defaultSize="0" autoFill="0" autoLine="0" autoPict="0">
                <anchor>
                  <from>
                    <xdr:col>0</xdr:col>
                    <xdr:colOff>0</xdr:colOff>
                    <xdr:row>350</xdr:row>
                    <xdr:rowOff>0</xdr:rowOff>
                  </from>
                  <to>
                    <xdr:col>5</xdr:col>
                    <xdr:colOff>0</xdr:colOff>
                    <xdr:row>351</xdr:row>
                    <xdr:rowOff>47625</xdr:rowOff>
                  </to>
                </anchor>
              </controlPr>
            </control>
          </mc:Choice>
        </mc:AlternateContent>
        <mc:AlternateContent xmlns:mc="http://schemas.openxmlformats.org/markup-compatibility/2006">
          <mc:Choice Requires="x14">
            <control shapeId="108863" r:id="rId421" name="Check Box 3391">
              <controlPr defaultSize="0" autoFill="0" autoLine="0" autoPict="0">
                <anchor>
                  <from>
                    <xdr:col>0</xdr:col>
                    <xdr:colOff>0</xdr:colOff>
                    <xdr:row>351</xdr:row>
                    <xdr:rowOff>0</xdr:rowOff>
                  </from>
                  <to>
                    <xdr:col>5</xdr:col>
                    <xdr:colOff>0</xdr:colOff>
                    <xdr:row>352</xdr:row>
                    <xdr:rowOff>47625</xdr:rowOff>
                  </to>
                </anchor>
              </controlPr>
            </control>
          </mc:Choice>
        </mc:AlternateContent>
        <mc:AlternateContent xmlns:mc="http://schemas.openxmlformats.org/markup-compatibility/2006">
          <mc:Choice Requires="x14">
            <control shapeId="108864" r:id="rId422" name="Check Box 3392">
              <controlPr defaultSize="0" autoFill="0" autoLine="0" autoPict="0">
                <anchor>
                  <from>
                    <xdr:col>0</xdr:col>
                    <xdr:colOff>0</xdr:colOff>
                    <xdr:row>352</xdr:row>
                    <xdr:rowOff>0</xdr:rowOff>
                  </from>
                  <to>
                    <xdr:col>5</xdr:col>
                    <xdr:colOff>0</xdr:colOff>
                    <xdr:row>353</xdr:row>
                    <xdr:rowOff>47625</xdr:rowOff>
                  </to>
                </anchor>
              </controlPr>
            </control>
          </mc:Choice>
        </mc:AlternateContent>
        <mc:AlternateContent xmlns:mc="http://schemas.openxmlformats.org/markup-compatibility/2006">
          <mc:Choice Requires="x14">
            <control shapeId="108865" r:id="rId423" name="Check Box 3393">
              <controlPr defaultSize="0" autoFill="0" autoLine="0" autoPict="0">
                <anchor>
                  <from>
                    <xdr:col>0</xdr:col>
                    <xdr:colOff>0</xdr:colOff>
                    <xdr:row>353</xdr:row>
                    <xdr:rowOff>0</xdr:rowOff>
                  </from>
                  <to>
                    <xdr:col>5</xdr:col>
                    <xdr:colOff>0</xdr:colOff>
                    <xdr:row>354</xdr:row>
                    <xdr:rowOff>47625</xdr:rowOff>
                  </to>
                </anchor>
              </controlPr>
            </control>
          </mc:Choice>
        </mc:AlternateContent>
        <mc:AlternateContent xmlns:mc="http://schemas.openxmlformats.org/markup-compatibility/2006">
          <mc:Choice Requires="x14">
            <control shapeId="108866" r:id="rId424" name="Check Box 3394">
              <controlPr defaultSize="0" autoFill="0" autoLine="0" autoPict="0">
                <anchor>
                  <from>
                    <xdr:col>0</xdr:col>
                    <xdr:colOff>0</xdr:colOff>
                    <xdr:row>354</xdr:row>
                    <xdr:rowOff>0</xdr:rowOff>
                  </from>
                  <to>
                    <xdr:col>5</xdr:col>
                    <xdr:colOff>0</xdr:colOff>
                    <xdr:row>355</xdr:row>
                    <xdr:rowOff>47625</xdr:rowOff>
                  </to>
                </anchor>
              </controlPr>
            </control>
          </mc:Choice>
        </mc:AlternateContent>
        <mc:AlternateContent xmlns:mc="http://schemas.openxmlformats.org/markup-compatibility/2006">
          <mc:Choice Requires="x14">
            <control shapeId="108867" r:id="rId425" name="Check Box 3395">
              <controlPr defaultSize="0" autoFill="0" autoLine="0" autoPict="0">
                <anchor>
                  <from>
                    <xdr:col>0</xdr:col>
                    <xdr:colOff>0</xdr:colOff>
                    <xdr:row>355</xdr:row>
                    <xdr:rowOff>0</xdr:rowOff>
                  </from>
                  <to>
                    <xdr:col>5</xdr:col>
                    <xdr:colOff>0</xdr:colOff>
                    <xdr:row>356</xdr:row>
                    <xdr:rowOff>47625</xdr:rowOff>
                  </to>
                </anchor>
              </controlPr>
            </control>
          </mc:Choice>
        </mc:AlternateContent>
        <mc:AlternateContent xmlns:mc="http://schemas.openxmlformats.org/markup-compatibility/2006">
          <mc:Choice Requires="x14">
            <control shapeId="108868" r:id="rId426" name="Check Box 3396">
              <controlPr defaultSize="0" autoFill="0" autoLine="0" autoPict="0">
                <anchor>
                  <from>
                    <xdr:col>0</xdr:col>
                    <xdr:colOff>0</xdr:colOff>
                    <xdr:row>356</xdr:row>
                    <xdr:rowOff>0</xdr:rowOff>
                  </from>
                  <to>
                    <xdr:col>5</xdr:col>
                    <xdr:colOff>0</xdr:colOff>
                    <xdr:row>357</xdr:row>
                    <xdr:rowOff>47625</xdr:rowOff>
                  </to>
                </anchor>
              </controlPr>
            </control>
          </mc:Choice>
        </mc:AlternateContent>
        <mc:AlternateContent xmlns:mc="http://schemas.openxmlformats.org/markup-compatibility/2006">
          <mc:Choice Requires="x14">
            <control shapeId="108869" r:id="rId427" name="Check Box 3397">
              <controlPr defaultSize="0" autoFill="0" autoLine="0" autoPict="0">
                <anchor>
                  <from>
                    <xdr:col>0</xdr:col>
                    <xdr:colOff>0</xdr:colOff>
                    <xdr:row>357</xdr:row>
                    <xdr:rowOff>0</xdr:rowOff>
                  </from>
                  <to>
                    <xdr:col>5</xdr:col>
                    <xdr:colOff>0</xdr:colOff>
                    <xdr:row>358</xdr:row>
                    <xdr:rowOff>47625</xdr:rowOff>
                  </to>
                </anchor>
              </controlPr>
            </control>
          </mc:Choice>
        </mc:AlternateContent>
        <mc:AlternateContent xmlns:mc="http://schemas.openxmlformats.org/markup-compatibility/2006">
          <mc:Choice Requires="x14">
            <control shapeId="108870" r:id="rId428" name="Check Box 3398">
              <controlPr defaultSize="0" autoFill="0" autoLine="0" autoPict="0">
                <anchor>
                  <from>
                    <xdr:col>0</xdr:col>
                    <xdr:colOff>0</xdr:colOff>
                    <xdr:row>358</xdr:row>
                    <xdr:rowOff>0</xdr:rowOff>
                  </from>
                  <to>
                    <xdr:col>5</xdr:col>
                    <xdr:colOff>0</xdr:colOff>
                    <xdr:row>359</xdr:row>
                    <xdr:rowOff>47625</xdr:rowOff>
                  </to>
                </anchor>
              </controlPr>
            </control>
          </mc:Choice>
        </mc:AlternateContent>
        <mc:AlternateContent xmlns:mc="http://schemas.openxmlformats.org/markup-compatibility/2006">
          <mc:Choice Requires="x14">
            <control shapeId="108871" r:id="rId429" name="Check Box 3399">
              <controlPr defaultSize="0" autoFill="0" autoLine="0" autoPict="0">
                <anchor>
                  <from>
                    <xdr:col>0</xdr:col>
                    <xdr:colOff>0</xdr:colOff>
                    <xdr:row>359</xdr:row>
                    <xdr:rowOff>0</xdr:rowOff>
                  </from>
                  <to>
                    <xdr:col>5</xdr:col>
                    <xdr:colOff>0</xdr:colOff>
                    <xdr:row>360</xdr:row>
                    <xdr:rowOff>47625</xdr:rowOff>
                  </to>
                </anchor>
              </controlPr>
            </control>
          </mc:Choice>
        </mc:AlternateContent>
        <mc:AlternateContent xmlns:mc="http://schemas.openxmlformats.org/markup-compatibility/2006">
          <mc:Choice Requires="x14">
            <control shapeId="108872" r:id="rId430" name="Check Box 3400">
              <controlPr defaultSize="0" autoFill="0" autoLine="0" autoPict="0">
                <anchor>
                  <from>
                    <xdr:col>0</xdr:col>
                    <xdr:colOff>0</xdr:colOff>
                    <xdr:row>360</xdr:row>
                    <xdr:rowOff>0</xdr:rowOff>
                  </from>
                  <to>
                    <xdr:col>5</xdr:col>
                    <xdr:colOff>0</xdr:colOff>
                    <xdr:row>361</xdr:row>
                    <xdr:rowOff>47625</xdr:rowOff>
                  </to>
                </anchor>
              </controlPr>
            </control>
          </mc:Choice>
        </mc:AlternateContent>
        <mc:AlternateContent xmlns:mc="http://schemas.openxmlformats.org/markup-compatibility/2006">
          <mc:Choice Requires="x14">
            <control shapeId="108873" r:id="rId431" name="Check Box 3401">
              <controlPr defaultSize="0" autoFill="0" autoLine="0" autoPict="0">
                <anchor>
                  <from>
                    <xdr:col>0</xdr:col>
                    <xdr:colOff>0</xdr:colOff>
                    <xdr:row>361</xdr:row>
                    <xdr:rowOff>0</xdr:rowOff>
                  </from>
                  <to>
                    <xdr:col>5</xdr:col>
                    <xdr:colOff>0</xdr:colOff>
                    <xdr:row>362</xdr:row>
                    <xdr:rowOff>47625</xdr:rowOff>
                  </to>
                </anchor>
              </controlPr>
            </control>
          </mc:Choice>
        </mc:AlternateContent>
        <mc:AlternateContent xmlns:mc="http://schemas.openxmlformats.org/markup-compatibility/2006">
          <mc:Choice Requires="x14">
            <control shapeId="108874" r:id="rId432" name="Check Box 3402">
              <controlPr defaultSize="0" autoFill="0" autoLine="0" autoPict="0">
                <anchor>
                  <from>
                    <xdr:col>0</xdr:col>
                    <xdr:colOff>0</xdr:colOff>
                    <xdr:row>362</xdr:row>
                    <xdr:rowOff>0</xdr:rowOff>
                  </from>
                  <to>
                    <xdr:col>5</xdr:col>
                    <xdr:colOff>0</xdr:colOff>
                    <xdr:row>363</xdr:row>
                    <xdr:rowOff>47625</xdr:rowOff>
                  </to>
                </anchor>
              </controlPr>
            </control>
          </mc:Choice>
        </mc:AlternateContent>
        <mc:AlternateContent xmlns:mc="http://schemas.openxmlformats.org/markup-compatibility/2006">
          <mc:Choice Requires="x14">
            <control shapeId="108875" r:id="rId433" name="Check Box 3403">
              <controlPr defaultSize="0" autoFill="0" autoLine="0" autoPict="0">
                <anchor>
                  <from>
                    <xdr:col>0</xdr:col>
                    <xdr:colOff>0</xdr:colOff>
                    <xdr:row>363</xdr:row>
                    <xdr:rowOff>0</xdr:rowOff>
                  </from>
                  <to>
                    <xdr:col>5</xdr:col>
                    <xdr:colOff>0</xdr:colOff>
                    <xdr:row>364</xdr:row>
                    <xdr:rowOff>47625</xdr:rowOff>
                  </to>
                </anchor>
              </controlPr>
            </control>
          </mc:Choice>
        </mc:AlternateContent>
        <mc:AlternateContent xmlns:mc="http://schemas.openxmlformats.org/markup-compatibility/2006">
          <mc:Choice Requires="x14">
            <control shapeId="108876" r:id="rId434" name="Check Box 3404">
              <controlPr defaultSize="0" autoFill="0" autoLine="0" autoPict="0">
                <anchor>
                  <from>
                    <xdr:col>0</xdr:col>
                    <xdr:colOff>0</xdr:colOff>
                    <xdr:row>364</xdr:row>
                    <xdr:rowOff>0</xdr:rowOff>
                  </from>
                  <to>
                    <xdr:col>5</xdr:col>
                    <xdr:colOff>0</xdr:colOff>
                    <xdr:row>365</xdr:row>
                    <xdr:rowOff>47625</xdr:rowOff>
                  </to>
                </anchor>
              </controlPr>
            </control>
          </mc:Choice>
        </mc:AlternateContent>
        <mc:AlternateContent xmlns:mc="http://schemas.openxmlformats.org/markup-compatibility/2006">
          <mc:Choice Requires="x14">
            <control shapeId="108877" r:id="rId435" name="Check Box 3405">
              <controlPr defaultSize="0" autoFill="0" autoLine="0" autoPict="0">
                <anchor>
                  <from>
                    <xdr:col>0</xdr:col>
                    <xdr:colOff>0</xdr:colOff>
                    <xdr:row>365</xdr:row>
                    <xdr:rowOff>0</xdr:rowOff>
                  </from>
                  <to>
                    <xdr:col>5</xdr:col>
                    <xdr:colOff>0</xdr:colOff>
                    <xdr:row>366</xdr:row>
                    <xdr:rowOff>47625</xdr:rowOff>
                  </to>
                </anchor>
              </controlPr>
            </control>
          </mc:Choice>
        </mc:AlternateContent>
        <mc:AlternateContent xmlns:mc="http://schemas.openxmlformats.org/markup-compatibility/2006">
          <mc:Choice Requires="x14">
            <control shapeId="108878" r:id="rId436" name="Check Box 3406">
              <controlPr defaultSize="0" autoFill="0" autoLine="0" autoPict="0">
                <anchor>
                  <from>
                    <xdr:col>0</xdr:col>
                    <xdr:colOff>0</xdr:colOff>
                    <xdr:row>366</xdr:row>
                    <xdr:rowOff>0</xdr:rowOff>
                  </from>
                  <to>
                    <xdr:col>5</xdr:col>
                    <xdr:colOff>0</xdr:colOff>
                    <xdr:row>367</xdr:row>
                    <xdr:rowOff>47625</xdr:rowOff>
                  </to>
                </anchor>
              </controlPr>
            </control>
          </mc:Choice>
        </mc:AlternateContent>
        <mc:AlternateContent xmlns:mc="http://schemas.openxmlformats.org/markup-compatibility/2006">
          <mc:Choice Requires="x14">
            <control shapeId="108879" r:id="rId437" name="Check Box 3407">
              <controlPr defaultSize="0" autoFill="0" autoLine="0" autoPict="0">
                <anchor>
                  <from>
                    <xdr:col>0</xdr:col>
                    <xdr:colOff>0</xdr:colOff>
                    <xdr:row>367</xdr:row>
                    <xdr:rowOff>0</xdr:rowOff>
                  </from>
                  <to>
                    <xdr:col>5</xdr:col>
                    <xdr:colOff>0</xdr:colOff>
                    <xdr:row>368</xdr:row>
                    <xdr:rowOff>47625</xdr:rowOff>
                  </to>
                </anchor>
              </controlPr>
            </control>
          </mc:Choice>
        </mc:AlternateContent>
        <mc:AlternateContent xmlns:mc="http://schemas.openxmlformats.org/markup-compatibility/2006">
          <mc:Choice Requires="x14">
            <control shapeId="108880" r:id="rId438" name="Check Box 3408">
              <controlPr defaultSize="0" autoFill="0" autoLine="0" autoPict="0">
                <anchor>
                  <from>
                    <xdr:col>0</xdr:col>
                    <xdr:colOff>0</xdr:colOff>
                    <xdr:row>368</xdr:row>
                    <xdr:rowOff>0</xdr:rowOff>
                  </from>
                  <to>
                    <xdr:col>5</xdr:col>
                    <xdr:colOff>0</xdr:colOff>
                    <xdr:row>369</xdr:row>
                    <xdr:rowOff>47625</xdr:rowOff>
                  </to>
                </anchor>
              </controlPr>
            </control>
          </mc:Choice>
        </mc:AlternateContent>
        <mc:AlternateContent xmlns:mc="http://schemas.openxmlformats.org/markup-compatibility/2006">
          <mc:Choice Requires="x14">
            <control shapeId="108881" r:id="rId439" name="Check Box 3409">
              <controlPr defaultSize="0" autoFill="0" autoLine="0" autoPict="0">
                <anchor>
                  <from>
                    <xdr:col>0</xdr:col>
                    <xdr:colOff>0</xdr:colOff>
                    <xdr:row>369</xdr:row>
                    <xdr:rowOff>0</xdr:rowOff>
                  </from>
                  <to>
                    <xdr:col>5</xdr:col>
                    <xdr:colOff>0</xdr:colOff>
                    <xdr:row>370</xdr:row>
                    <xdr:rowOff>47625</xdr:rowOff>
                  </to>
                </anchor>
              </controlPr>
            </control>
          </mc:Choice>
        </mc:AlternateContent>
        <mc:AlternateContent xmlns:mc="http://schemas.openxmlformats.org/markup-compatibility/2006">
          <mc:Choice Requires="x14">
            <control shapeId="108882" r:id="rId440" name="Check Box 3410">
              <controlPr defaultSize="0" autoFill="0" autoLine="0" autoPict="0">
                <anchor>
                  <from>
                    <xdr:col>0</xdr:col>
                    <xdr:colOff>0</xdr:colOff>
                    <xdr:row>370</xdr:row>
                    <xdr:rowOff>0</xdr:rowOff>
                  </from>
                  <to>
                    <xdr:col>5</xdr:col>
                    <xdr:colOff>0</xdr:colOff>
                    <xdr:row>371</xdr:row>
                    <xdr:rowOff>47625</xdr:rowOff>
                  </to>
                </anchor>
              </controlPr>
            </control>
          </mc:Choice>
        </mc:AlternateContent>
        <mc:AlternateContent xmlns:mc="http://schemas.openxmlformats.org/markup-compatibility/2006">
          <mc:Choice Requires="x14">
            <control shapeId="108883" r:id="rId441" name="Check Box 3411">
              <controlPr defaultSize="0" autoFill="0" autoLine="0" autoPict="0">
                <anchor>
                  <from>
                    <xdr:col>0</xdr:col>
                    <xdr:colOff>0</xdr:colOff>
                    <xdr:row>371</xdr:row>
                    <xdr:rowOff>0</xdr:rowOff>
                  </from>
                  <to>
                    <xdr:col>5</xdr:col>
                    <xdr:colOff>0</xdr:colOff>
                    <xdr:row>372</xdr:row>
                    <xdr:rowOff>47625</xdr:rowOff>
                  </to>
                </anchor>
              </controlPr>
            </control>
          </mc:Choice>
        </mc:AlternateContent>
        <mc:AlternateContent xmlns:mc="http://schemas.openxmlformats.org/markup-compatibility/2006">
          <mc:Choice Requires="x14">
            <control shapeId="108884" r:id="rId442" name="Check Box 3412">
              <controlPr defaultSize="0" autoFill="0" autoLine="0" autoPict="0">
                <anchor>
                  <from>
                    <xdr:col>0</xdr:col>
                    <xdr:colOff>0</xdr:colOff>
                    <xdr:row>372</xdr:row>
                    <xdr:rowOff>0</xdr:rowOff>
                  </from>
                  <to>
                    <xdr:col>5</xdr:col>
                    <xdr:colOff>0</xdr:colOff>
                    <xdr:row>373</xdr:row>
                    <xdr:rowOff>47625</xdr:rowOff>
                  </to>
                </anchor>
              </controlPr>
            </control>
          </mc:Choice>
        </mc:AlternateContent>
        <mc:AlternateContent xmlns:mc="http://schemas.openxmlformats.org/markup-compatibility/2006">
          <mc:Choice Requires="x14">
            <control shapeId="108885" r:id="rId443" name="Check Box 3413">
              <controlPr defaultSize="0" autoFill="0" autoLine="0" autoPict="0">
                <anchor>
                  <from>
                    <xdr:col>0</xdr:col>
                    <xdr:colOff>0</xdr:colOff>
                    <xdr:row>373</xdr:row>
                    <xdr:rowOff>0</xdr:rowOff>
                  </from>
                  <to>
                    <xdr:col>5</xdr:col>
                    <xdr:colOff>0</xdr:colOff>
                    <xdr:row>374</xdr:row>
                    <xdr:rowOff>47625</xdr:rowOff>
                  </to>
                </anchor>
              </controlPr>
            </control>
          </mc:Choice>
        </mc:AlternateContent>
        <mc:AlternateContent xmlns:mc="http://schemas.openxmlformats.org/markup-compatibility/2006">
          <mc:Choice Requires="x14">
            <control shapeId="108886" r:id="rId444" name="Check Box 3414">
              <controlPr defaultSize="0" autoFill="0" autoLine="0" autoPict="0">
                <anchor>
                  <from>
                    <xdr:col>0</xdr:col>
                    <xdr:colOff>0</xdr:colOff>
                    <xdr:row>374</xdr:row>
                    <xdr:rowOff>0</xdr:rowOff>
                  </from>
                  <to>
                    <xdr:col>5</xdr:col>
                    <xdr:colOff>0</xdr:colOff>
                    <xdr:row>375</xdr:row>
                    <xdr:rowOff>47625</xdr:rowOff>
                  </to>
                </anchor>
              </controlPr>
            </control>
          </mc:Choice>
        </mc:AlternateContent>
        <mc:AlternateContent xmlns:mc="http://schemas.openxmlformats.org/markup-compatibility/2006">
          <mc:Choice Requires="x14">
            <control shapeId="108887" r:id="rId445" name="Check Box 3415">
              <controlPr defaultSize="0" autoFill="0" autoLine="0" autoPict="0">
                <anchor>
                  <from>
                    <xdr:col>0</xdr:col>
                    <xdr:colOff>0</xdr:colOff>
                    <xdr:row>375</xdr:row>
                    <xdr:rowOff>0</xdr:rowOff>
                  </from>
                  <to>
                    <xdr:col>5</xdr:col>
                    <xdr:colOff>0</xdr:colOff>
                    <xdr:row>376</xdr:row>
                    <xdr:rowOff>47625</xdr:rowOff>
                  </to>
                </anchor>
              </controlPr>
            </control>
          </mc:Choice>
        </mc:AlternateContent>
        <mc:AlternateContent xmlns:mc="http://schemas.openxmlformats.org/markup-compatibility/2006">
          <mc:Choice Requires="x14">
            <control shapeId="108888" r:id="rId446" name="Check Box 3416">
              <controlPr defaultSize="0" autoFill="0" autoLine="0" autoPict="0">
                <anchor>
                  <from>
                    <xdr:col>0</xdr:col>
                    <xdr:colOff>0</xdr:colOff>
                    <xdr:row>376</xdr:row>
                    <xdr:rowOff>0</xdr:rowOff>
                  </from>
                  <to>
                    <xdr:col>5</xdr:col>
                    <xdr:colOff>0</xdr:colOff>
                    <xdr:row>377</xdr:row>
                    <xdr:rowOff>47625</xdr:rowOff>
                  </to>
                </anchor>
              </controlPr>
            </control>
          </mc:Choice>
        </mc:AlternateContent>
        <mc:AlternateContent xmlns:mc="http://schemas.openxmlformats.org/markup-compatibility/2006">
          <mc:Choice Requires="x14">
            <control shapeId="108889" r:id="rId447" name="Check Box 3417">
              <controlPr defaultSize="0" autoFill="0" autoLine="0" autoPict="0">
                <anchor>
                  <from>
                    <xdr:col>0</xdr:col>
                    <xdr:colOff>0</xdr:colOff>
                    <xdr:row>377</xdr:row>
                    <xdr:rowOff>0</xdr:rowOff>
                  </from>
                  <to>
                    <xdr:col>5</xdr:col>
                    <xdr:colOff>0</xdr:colOff>
                    <xdr:row>378</xdr:row>
                    <xdr:rowOff>47625</xdr:rowOff>
                  </to>
                </anchor>
              </controlPr>
            </control>
          </mc:Choice>
        </mc:AlternateContent>
        <mc:AlternateContent xmlns:mc="http://schemas.openxmlformats.org/markup-compatibility/2006">
          <mc:Choice Requires="x14">
            <control shapeId="108890" r:id="rId448" name="Check Box 3418">
              <controlPr defaultSize="0" autoFill="0" autoLine="0" autoPict="0">
                <anchor>
                  <from>
                    <xdr:col>0</xdr:col>
                    <xdr:colOff>0</xdr:colOff>
                    <xdr:row>378</xdr:row>
                    <xdr:rowOff>0</xdr:rowOff>
                  </from>
                  <to>
                    <xdr:col>5</xdr:col>
                    <xdr:colOff>0</xdr:colOff>
                    <xdr:row>379</xdr:row>
                    <xdr:rowOff>47625</xdr:rowOff>
                  </to>
                </anchor>
              </controlPr>
            </control>
          </mc:Choice>
        </mc:AlternateContent>
        <mc:AlternateContent xmlns:mc="http://schemas.openxmlformats.org/markup-compatibility/2006">
          <mc:Choice Requires="x14">
            <control shapeId="108891" r:id="rId449" name="Check Box 3419">
              <controlPr defaultSize="0" autoFill="0" autoLine="0" autoPict="0">
                <anchor>
                  <from>
                    <xdr:col>0</xdr:col>
                    <xdr:colOff>0</xdr:colOff>
                    <xdr:row>379</xdr:row>
                    <xdr:rowOff>0</xdr:rowOff>
                  </from>
                  <to>
                    <xdr:col>5</xdr:col>
                    <xdr:colOff>0</xdr:colOff>
                    <xdr:row>380</xdr:row>
                    <xdr:rowOff>47625</xdr:rowOff>
                  </to>
                </anchor>
              </controlPr>
            </control>
          </mc:Choice>
        </mc:AlternateContent>
        <mc:AlternateContent xmlns:mc="http://schemas.openxmlformats.org/markup-compatibility/2006">
          <mc:Choice Requires="x14">
            <control shapeId="108892" r:id="rId450" name="Check Box 3420">
              <controlPr defaultSize="0" autoFill="0" autoLine="0" autoPict="0">
                <anchor>
                  <from>
                    <xdr:col>0</xdr:col>
                    <xdr:colOff>0</xdr:colOff>
                    <xdr:row>380</xdr:row>
                    <xdr:rowOff>0</xdr:rowOff>
                  </from>
                  <to>
                    <xdr:col>5</xdr:col>
                    <xdr:colOff>0</xdr:colOff>
                    <xdr:row>381</xdr:row>
                    <xdr:rowOff>47625</xdr:rowOff>
                  </to>
                </anchor>
              </controlPr>
            </control>
          </mc:Choice>
        </mc:AlternateContent>
        <mc:AlternateContent xmlns:mc="http://schemas.openxmlformats.org/markup-compatibility/2006">
          <mc:Choice Requires="x14">
            <control shapeId="108893" r:id="rId451" name="Check Box 3421">
              <controlPr defaultSize="0" autoFill="0" autoLine="0" autoPict="0">
                <anchor>
                  <from>
                    <xdr:col>0</xdr:col>
                    <xdr:colOff>0</xdr:colOff>
                    <xdr:row>381</xdr:row>
                    <xdr:rowOff>0</xdr:rowOff>
                  </from>
                  <to>
                    <xdr:col>5</xdr:col>
                    <xdr:colOff>0</xdr:colOff>
                    <xdr:row>382</xdr:row>
                    <xdr:rowOff>47625</xdr:rowOff>
                  </to>
                </anchor>
              </controlPr>
            </control>
          </mc:Choice>
        </mc:AlternateContent>
        <mc:AlternateContent xmlns:mc="http://schemas.openxmlformats.org/markup-compatibility/2006">
          <mc:Choice Requires="x14">
            <control shapeId="108894" r:id="rId452" name="Check Box 3422">
              <controlPr defaultSize="0" autoFill="0" autoLine="0" autoPict="0">
                <anchor>
                  <from>
                    <xdr:col>0</xdr:col>
                    <xdr:colOff>0</xdr:colOff>
                    <xdr:row>382</xdr:row>
                    <xdr:rowOff>0</xdr:rowOff>
                  </from>
                  <to>
                    <xdr:col>5</xdr:col>
                    <xdr:colOff>0</xdr:colOff>
                    <xdr:row>383</xdr:row>
                    <xdr:rowOff>47625</xdr:rowOff>
                  </to>
                </anchor>
              </controlPr>
            </control>
          </mc:Choice>
        </mc:AlternateContent>
        <mc:AlternateContent xmlns:mc="http://schemas.openxmlformats.org/markup-compatibility/2006">
          <mc:Choice Requires="x14">
            <control shapeId="108895" r:id="rId453" name="Check Box 3423">
              <controlPr defaultSize="0" autoFill="0" autoLine="0" autoPict="0">
                <anchor>
                  <from>
                    <xdr:col>0</xdr:col>
                    <xdr:colOff>0</xdr:colOff>
                    <xdr:row>383</xdr:row>
                    <xdr:rowOff>0</xdr:rowOff>
                  </from>
                  <to>
                    <xdr:col>5</xdr:col>
                    <xdr:colOff>0</xdr:colOff>
                    <xdr:row>384</xdr:row>
                    <xdr:rowOff>47625</xdr:rowOff>
                  </to>
                </anchor>
              </controlPr>
            </control>
          </mc:Choice>
        </mc:AlternateContent>
        <mc:AlternateContent xmlns:mc="http://schemas.openxmlformats.org/markup-compatibility/2006">
          <mc:Choice Requires="x14">
            <control shapeId="108896" r:id="rId454" name="Check Box 3424">
              <controlPr defaultSize="0" autoFill="0" autoLine="0" autoPict="0">
                <anchor>
                  <from>
                    <xdr:col>0</xdr:col>
                    <xdr:colOff>0</xdr:colOff>
                    <xdr:row>384</xdr:row>
                    <xdr:rowOff>0</xdr:rowOff>
                  </from>
                  <to>
                    <xdr:col>5</xdr:col>
                    <xdr:colOff>0</xdr:colOff>
                    <xdr:row>385</xdr:row>
                    <xdr:rowOff>47625</xdr:rowOff>
                  </to>
                </anchor>
              </controlPr>
            </control>
          </mc:Choice>
        </mc:AlternateContent>
        <mc:AlternateContent xmlns:mc="http://schemas.openxmlformats.org/markup-compatibility/2006">
          <mc:Choice Requires="x14">
            <control shapeId="108897" r:id="rId455" name="Check Box 3425">
              <controlPr defaultSize="0" autoFill="0" autoLine="0" autoPict="0">
                <anchor>
                  <from>
                    <xdr:col>0</xdr:col>
                    <xdr:colOff>0</xdr:colOff>
                    <xdr:row>385</xdr:row>
                    <xdr:rowOff>0</xdr:rowOff>
                  </from>
                  <to>
                    <xdr:col>5</xdr:col>
                    <xdr:colOff>0</xdr:colOff>
                    <xdr:row>386</xdr:row>
                    <xdr:rowOff>47625</xdr:rowOff>
                  </to>
                </anchor>
              </controlPr>
            </control>
          </mc:Choice>
        </mc:AlternateContent>
        <mc:AlternateContent xmlns:mc="http://schemas.openxmlformats.org/markup-compatibility/2006">
          <mc:Choice Requires="x14">
            <control shapeId="108898" r:id="rId456" name="Check Box 3426">
              <controlPr defaultSize="0" autoFill="0" autoLine="0" autoPict="0">
                <anchor>
                  <from>
                    <xdr:col>0</xdr:col>
                    <xdr:colOff>0</xdr:colOff>
                    <xdr:row>386</xdr:row>
                    <xdr:rowOff>0</xdr:rowOff>
                  </from>
                  <to>
                    <xdr:col>5</xdr:col>
                    <xdr:colOff>0</xdr:colOff>
                    <xdr:row>387</xdr:row>
                    <xdr:rowOff>47625</xdr:rowOff>
                  </to>
                </anchor>
              </controlPr>
            </control>
          </mc:Choice>
        </mc:AlternateContent>
        <mc:AlternateContent xmlns:mc="http://schemas.openxmlformats.org/markup-compatibility/2006">
          <mc:Choice Requires="x14">
            <control shapeId="108899" r:id="rId457" name="Check Box 3427">
              <controlPr defaultSize="0" autoFill="0" autoLine="0" autoPict="0">
                <anchor>
                  <from>
                    <xdr:col>0</xdr:col>
                    <xdr:colOff>0</xdr:colOff>
                    <xdr:row>387</xdr:row>
                    <xdr:rowOff>0</xdr:rowOff>
                  </from>
                  <to>
                    <xdr:col>5</xdr:col>
                    <xdr:colOff>0</xdr:colOff>
                    <xdr:row>388</xdr:row>
                    <xdr:rowOff>47625</xdr:rowOff>
                  </to>
                </anchor>
              </controlPr>
            </control>
          </mc:Choice>
        </mc:AlternateContent>
        <mc:AlternateContent xmlns:mc="http://schemas.openxmlformats.org/markup-compatibility/2006">
          <mc:Choice Requires="x14">
            <control shapeId="108900" r:id="rId458" name="Check Box 3428">
              <controlPr defaultSize="0" autoFill="0" autoLine="0" autoPict="0">
                <anchor>
                  <from>
                    <xdr:col>0</xdr:col>
                    <xdr:colOff>0</xdr:colOff>
                    <xdr:row>388</xdr:row>
                    <xdr:rowOff>0</xdr:rowOff>
                  </from>
                  <to>
                    <xdr:col>5</xdr:col>
                    <xdr:colOff>0</xdr:colOff>
                    <xdr:row>389</xdr:row>
                    <xdr:rowOff>47625</xdr:rowOff>
                  </to>
                </anchor>
              </controlPr>
            </control>
          </mc:Choice>
        </mc:AlternateContent>
        <mc:AlternateContent xmlns:mc="http://schemas.openxmlformats.org/markup-compatibility/2006">
          <mc:Choice Requires="x14">
            <control shapeId="108901" r:id="rId459" name="Check Box 3429">
              <controlPr defaultSize="0" autoFill="0" autoLine="0" autoPict="0">
                <anchor>
                  <from>
                    <xdr:col>0</xdr:col>
                    <xdr:colOff>0</xdr:colOff>
                    <xdr:row>389</xdr:row>
                    <xdr:rowOff>0</xdr:rowOff>
                  </from>
                  <to>
                    <xdr:col>5</xdr:col>
                    <xdr:colOff>0</xdr:colOff>
                    <xdr:row>390</xdr:row>
                    <xdr:rowOff>47625</xdr:rowOff>
                  </to>
                </anchor>
              </controlPr>
            </control>
          </mc:Choice>
        </mc:AlternateContent>
        <mc:AlternateContent xmlns:mc="http://schemas.openxmlformats.org/markup-compatibility/2006">
          <mc:Choice Requires="x14">
            <control shapeId="108902" r:id="rId460" name="Check Box 3430">
              <controlPr defaultSize="0" autoFill="0" autoLine="0" autoPict="0">
                <anchor>
                  <from>
                    <xdr:col>0</xdr:col>
                    <xdr:colOff>0</xdr:colOff>
                    <xdr:row>390</xdr:row>
                    <xdr:rowOff>0</xdr:rowOff>
                  </from>
                  <to>
                    <xdr:col>5</xdr:col>
                    <xdr:colOff>0</xdr:colOff>
                    <xdr:row>391</xdr:row>
                    <xdr:rowOff>47625</xdr:rowOff>
                  </to>
                </anchor>
              </controlPr>
            </control>
          </mc:Choice>
        </mc:AlternateContent>
        <mc:AlternateContent xmlns:mc="http://schemas.openxmlformats.org/markup-compatibility/2006">
          <mc:Choice Requires="x14">
            <control shapeId="108903" r:id="rId461" name="Check Box 3431">
              <controlPr defaultSize="0" autoFill="0" autoLine="0" autoPict="0">
                <anchor>
                  <from>
                    <xdr:col>0</xdr:col>
                    <xdr:colOff>0</xdr:colOff>
                    <xdr:row>391</xdr:row>
                    <xdr:rowOff>0</xdr:rowOff>
                  </from>
                  <to>
                    <xdr:col>5</xdr:col>
                    <xdr:colOff>0</xdr:colOff>
                    <xdr:row>392</xdr:row>
                    <xdr:rowOff>47625</xdr:rowOff>
                  </to>
                </anchor>
              </controlPr>
            </control>
          </mc:Choice>
        </mc:AlternateContent>
        <mc:AlternateContent xmlns:mc="http://schemas.openxmlformats.org/markup-compatibility/2006">
          <mc:Choice Requires="x14">
            <control shapeId="108904" r:id="rId462" name="Check Box 3432">
              <controlPr defaultSize="0" autoFill="0" autoLine="0" autoPict="0">
                <anchor>
                  <from>
                    <xdr:col>0</xdr:col>
                    <xdr:colOff>0</xdr:colOff>
                    <xdr:row>392</xdr:row>
                    <xdr:rowOff>0</xdr:rowOff>
                  </from>
                  <to>
                    <xdr:col>5</xdr:col>
                    <xdr:colOff>0</xdr:colOff>
                    <xdr:row>393</xdr:row>
                    <xdr:rowOff>47625</xdr:rowOff>
                  </to>
                </anchor>
              </controlPr>
            </control>
          </mc:Choice>
        </mc:AlternateContent>
        <mc:AlternateContent xmlns:mc="http://schemas.openxmlformats.org/markup-compatibility/2006">
          <mc:Choice Requires="x14">
            <control shapeId="108905" r:id="rId463" name="Check Box 3433">
              <controlPr defaultSize="0" autoFill="0" autoLine="0" autoPict="0">
                <anchor>
                  <from>
                    <xdr:col>0</xdr:col>
                    <xdr:colOff>0</xdr:colOff>
                    <xdr:row>393</xdr:row>
                    <xdr:rowOff>0</xdr:rowOff>
                  </from>
                  <to>
                    <xdr:col>5</xdr:col>
                    <xdr:colOff>0</xdr:colOff>
                    <xdr:row>394</xdr:row>
                    <xdr:rowOff>47625</xdr:rowOff>
                  </to>
                </anchor>
              </controlPr>
            </control>
          </mc:Choice>
        </mc:AlternateContent>
        <mc:AlternateContent xmlns:mc="http://schemas.openxmlformats.org/markup-compatibility/2006">
          <mc:Choice Requires="x14">
            <control shapeId="108906" r:id="rId464" name="Check Box 3434">
              <controlPr defaultSize="0" autoFill="0" autoLine="0" autoPict="0">
                <anchor>
                  <from>
                    <xdr:col>0</xdr:col>
                    <xdr:colOff>0</xdr:colOff>
                    <xdr:row>394</xdr:row>
                    <xdr:rowOff>0</xdr:rowOff>
                  </from>
                  <to>
                    <xdr:col>5</xdr:col>
                    <xdr:colOff>0</xdr:colOff>
                    <xdr:row>395</xdr:row>
                    <xdr:rowOff>47625</xdr:rowOff>
                  </to>
                </anchor>
              </controlPr>
            </control>
          </mc:Choice>
        </mc:AlternateContent>
        <mc:AlternateContent xmlns:mc="http://schemas.openxmlformats.org/markup-compatibility/2006">
          <mc:Choice Requires="x14">
            <control shapeId="108907" r:id="rId465" name="Check Box 3435">
              <controlPr defaultSize="0" autoFill="0" autoLine="0" autoPict="0">
                <anchor>
                  <from>
                    <xdr:col>0</xdr:col>
                    <xdr:colOff>0</xdr:colOff>
                    <xdr:row>395</xdr:row>
                    <xdr:rowOff>0</xdr:rowOff>
                  </from>
                  <to>
                    <xdr:col>5</xdr:col>
                    <xdr:colOff>0</xdr:colOff>
                    <xdr:row>396</xdr:row>
                    <xdr:rowOff>47625</xdr:rowOff>
                  </to>
                </anchor>
              </controlPr>
            </control>
          </mc:Choice>
        </mc:AlternateContent>
        <mc:AlternateContent xmlns:mc="http://schemas.openxmlformats.org/markup-compatibility/2006">
          <mc:Choice Requires="x14">
            <control shapeId="108908" r:id="rId466" name="Check Box 3436">
              <controlPr defaultSize="0" autoFill="0" autoLine="0" autoPict="0">
                <anchor>
                  <from>
                    <xdr:col>0</xdr:col>
                    <xdr:colOff>0</xdr:colOff>
                    <xdr:row>396</xdr:row>
                    <xdr:rowOff>0</xdr:rowOff>
                  </from>
                  <to>
                    <xdr:col>5</xdr:col>
                    <xdr:colOff>0</xdr:colOff>
                    <xdr:row>397</xdr:row>
                    <xdr:rowOff>47625</xdr:rowOff>
                  </to>
                </anchor>
              </controlPr>
            </control>
          </mc:Choice>
        </mc:AlternateContent>
        <mc:AlternateContent xmlns:mc="http://schemas.openxmlformats.org/markup-compatibility/2006">
          <mc:Choice Requires="x14">
            <control shapeId="108909" r:id="rId467" name="Check Box 3437">
              <controlPr defaultSize="0" autoFill="0" autoLine="0" autoPict="0">
                <anchor>
                  <from>
                    <xdr:col>0</xdr:col>
                    <xdr:colOff>0</xdr:colOff>
                    <xdr:row>397</xdr:row>
                    <xdr:rowOff>0</xdr:rowOff>
                  </from>
                  <to>
                    <xdr:col>5</xdr:col>
                    <xdr:colOff>0</xdr:colOff>
                    <xdr:row>398</xdr:row>
                    <xdr:rowOff>47625</xdr:rowOff>
                  </to>
                </anchor>
              </controlPr>
            </control>
          </mc:Choice>
        </mc:AlternateContent>
        <mc:AlternateContent xmlns:mc="http://schemas.openxmlformats.org/markup-compatibility/2006">
          <mc:Choice Requires="x14">
            <control shapeId="108910" r:id="rId468" name="Check Box 3438">
              <controlPr defaultSize="0" autoFill="0" autoLine="0" autoPict="0">
                <anchor>
                  <from>
                    <xdr:col>0</xdr:col>
                    <xdr:colOff>0</xdr:colOff>
                    <xdr:row>398</xdr:row>
                    <xdr:rowOff>0</xdr:rowOff>
                  </from>
                  <to>
                    <xdr:col>5</xdr:col>
                    <xdr:colOff>0</xdr:colOff>
                    <xdr:row>399</xdr:row>
                    <xdr:rowOff>47625</xdr:rowOff>
                  </to>
                </anchor>
              </controlPr>
            </control>
          </mc:Choice>
        </mc:AlternateContent>
        <mc:AlternateContent xmlns:mc="http://schemas.openxmlformats.org/markup-compatibility/2006">
          <mc:Choice Requires="x14">
            <control shapeId="108911" r:id="rId469" name="Check Box 3439">
              <controlPr defaultSize="0" autoFill="0" autoLine="0" autoPict="0">
                <anchor>
                  <from>
                    <xdr:col>0</xdr:col>
                    <xdr:colOff>0</xdr:colOff>
                    <xdr:row>399</xdr:row>
                    <xdr:rowOff>0</xdr:rowOff>
                  </from>
                  <to>
                    <xdr:col>5</xdr:col>
                    <xdr:colOff>0</xdr:colOff>
                    <xdr:row>400</xdr:row>
                    <xdr:rowOff>47625</xdr:rowOff>
                  </to>
                </anchor>
              </controlPr>
            </control>
          </mc:Choice>
        </mc:AlternateContent>
        <mc:AlternateContent xmlns:mc="http://schemas.openxmlformats.org/markup-compatibility/2006">
          <mc:Choice Requires="x14">
            <control shapeId="108912" r:id="rId470" name="Check Box 3440">
              <controlPr defaultSize="0" autoFill="0" autoLine="0" autoPict="0">
                <anchor>
                  <from>
                    <xdr:col>0</xdr:col>
                    <xdr:colOff>0</xdr:colOff>
                    <xdr:row>400</xdr:row>
                    <xdr:rowOff>0</xdr:rowOff>
                  </from>
                  <to>
                    <xdr:col>5</xdr:col>
                    <xdr:colOff>0</xdr:colOff>
                    <xdr:row>401</xdr:row>
                    <xdr:rowOff>47625</xdr:rowOff>
                  </to>
                </anchor>
              </controlPr>
            </control>
          </mc:Choice>
        </mc:AlternateContent>
        <mc:AlternateContent xmlns:mc="http://schemas.openxmlformats.org/markup-compatibility/2006">
          <mc:Choice Requires="x14">
            <control shapeId="108913" r:id="rId471" name="Check Box 3441">
              <controlPr defaultSize="0" autoFill="0" autoLine="0" autoPict="0">
                <anchor>
                  <from>
                    <xdr:col>0</xdr:col>
                    <xdr:colOff>0</xdr:colOff>
                    <xdr:row>401</xdr:row>
                    <xdr:rowOff>0</xdr:rowOff>
                  </from>
                  <to>
                    <xdr:col>5</xdr:col>
                    <xdr:colOff>0</xdr:colOff>
                    <xdr:row>402</xdr:row>
                    <xdr:rowOff>47625</xdr:rowOff>
                  </to>
                </anchor>
              </controlPr>
            </control>
          </mc:Choice>
        </mc:AlternateContent>
        <mc:AlternateContent xmlns:mc="http://schemas.openxmlformats.org/markup-compatibility/2006">
          <mc:Choice Requires="x14">
            <control shapeId="108914" r:id="rId472" name="Check Box 3442">
              <controlPr defaultSize="0" autoFill="0" autoLine="0" autoPict="0">
                <anchor>
                  <from>
                    <xdr:col>0</xdr:col>
                    <xdr:colOff>0</xdr:colOff>
                    <xdr:row>402</xdr:row>
                    <xdr:rowOff>0</xdr:rowOff>
                  </from>
                  <to>
                    <xdr:col>5</xdr:col>
                    <xdr:colOff>0</xdr:colOff>
                    <xdr:row>403</xdr:row>
                    <xdr:rowOff>47625</xdr:rowOff>
                  </to>
                </anchor>
              </controlPr>
            </control>
          </mc:Choice>
        </mc:AlternateContent>
        <mc:AlternateContent xmlns:mc="http://schemas.openxmlformats.org/markup-compatibility/2006">
          <mc:Choice Requires="x14">
            <control shapeId="108915" r:id="rId473" name="Check Box 3443">
              <controlPr defaultSize="0" autoFill="0" autoLine="0" autoPict="0">
                <anchor>
                  <from>
                    <xdr:col>0</xdr:col>
                    <xdr:colOff>0</xdr:colOff>
                    <xdr:row>403</xdr:row>
                    <xdr:rowOff>0</xdr:rowOff>
                  </from>
                  <to>
                    <xdr:col>5</xdr:col>
                    <xdr:colOff>0</xdr:colOff>
                    <xdr:row>404</xdr:row>
                    <xdr:rowOff>47625</xdr:rowOff>
                  </to>
                </anchor>
              </controlPr>
            </control>
          </mc:Choice>
        </mc:AlternateContent>
        <mc:AlternateContent xmlns:mc="http://schemas.openxmlformats.org/markup-compatibility/2006">
          <mc:Choice Requires="x14">
            <control shapeId="108916" r:id="rId474" name="Check Box 3444">
              <controlPr defaultSize="0" autoFill="0" autoLine="0" autoPict="0">
                <anchor>
                  <from>
                    <xdr:col>0</xdr:col>
                    <xdr:colOff>0</xdr:colOff>
                    <xdr:row>404</xdr:row>
                    <xdr:rowOff>0</xdr:rowOff>
                  </from>
                  <to>
                    <xdr:col>5</xdr:col>
                    <xdr:colOff>0</xdr:colOff>
                    <xdr:row>405</xdr:row>
                    <xdr:rowOff>47625</xdr:rowOff>
                  </to>
                </anchor>
              </controlPr>
            </control>
          </mc:Choice>
        </mc:AlternateContent>
        <mc:AlternateContent xmlns:mc="http://schemas.openxmlformats.org/markup-compatibility/2006">
          <mc:Choice Requires="x14">
            <control shapeId="108917" r:id="rId475" name="Check Box 3445">
              <controlPr defaultSize="0" autoFill="0" autoLine="0" autoPict="0">
                <anchor>
                  <from>
                    <xdr:col>0</xdr:col>
                    <xdr:colOff>0</xdr:colOff>
                    <xdr:row>405</xdr:row>
                    <xdr:rowOff>0</xdr:rowOff>
                  </from>
                  <to>
                    <xdr:col>5</xdr:col>
                    <xdr:colOff>0</xdr:colOff>
                    <xdr:row>406</xdr:row>
                    <xdr:rowOff>47625</xdr:rowOff>
                  </to>
                </anchor>
              </controlPr>
            </control>
          </mc:Choice>
        </mc:AlternateContent>
        <mc:AlternateContent xmlns:mc="http://schemas.openxmlformats.org/markup-compatibility/2006">
          <mc:Choice Requires="x14">
            <control shapeId="108918" r:id="rId476" name="Check Box 3446">
              <controlPr defaultSize="0" autoFill="0" autoLine="0" autoPict="0">
                <anchor>
                  <from>
                    <xdr:col>0</xdr:col>
                    <xdr:colOff>0</xdr:colOff>
                    <xdr:row>406</xdr:row>
                    <xdr:rowOff>0</xdr:rowOff>
                  </from>
                  <to>
                    <xdr:col>5</xdr:col>
                    <xdr:colOff>0</xdr:colOff>
                    <xdr:row>407</xdr:row>
                    <xdr:rowOff>47625</xdr:rowOff>
                  </to>
                </anchor>
              </controlPr>
            </control>
          </mc:Choice>
        </mc:AlternateContent>
        <mc:AlternateContent xmlns:mc="http://schemas.openxmlformats.org/markup-compatibility/2006">
          <mc:Choice Requires="x14">
            <control shapeId="108919" r:id="rId477" name="Check Box 3447">
              <controlPr defaultSize="0" autoFill="0" autoLine="0" autoPict="0">
                <anchor>
                  <from>
                    <xdr:col>0</xdr:col>
                    <xdr:colOff>0</xdr:colOff>
                    <xdr:row>407</xdr:row>
                    <xdr:rowOff>0</xdr:rowOff>
                  </from>
                  <to>
                    <xdr:col>5</xdr:col>
                    <xdr:colOff>0</xdr:colOff>
                    <xdr:row>408</xdr:row>
                    <xdr:rowOff>47625</xdr:rowOff>
                  </to>
                </anchor>
              </controlPr>
            </control>
          </mc:Choice>
        </mc:AlternateContent>
        <mc:AlternateContent xmlns:mc="http://schemas.openxmlformats.org/markup-compatibility/2006">
          <mc:Choice Requires="x14">
            <control shapeId="108920" r:id="rId478" name="Check Box 3448">
              <controlPr defaultSize="0" autoFill="0" autoLine="0" autoPict="0">
                <anchor>
                  <from>
                    <xdr:col>0</xdr:col>
                    <xdr:colOff>0</xdr:colOff>
                    <xdr:row>408</xdr:row>
                    <xdr:rowOff>0</xdr:rowOff>
                  </from>
                  <to>
                    <xdr:col>5</xdr:col>
                    <xdr:colOff>0</xdr:colOff>
                    <xdr:row>409</xdr:row>
                    <xdr:rowOff>47625</xdr:rowOff>
                  </to>
                </anchor>
              </controlPr>
            </control>
          </mc:Choice>
        </mc:AlternateContent>
        <mc:AlternateContent xmlns:mc="http://schemas.openxmlformats.org/markup-compatibility/2006">
          <mc:Choice Requires="x14">
            <control shapeId="108921" r:id="rId479" name="Check Box 3449">
              <controlPr defaultSize="0" autoFill="0" autoLine="0" autoPict="0">
                <anchor>
                  <from>
                    <xdr:col>0</xdr:col>
                    <xdr:colOff>0</xdr:colOff>
                    <xdr:row>409</xdr:row>
                    <xdr:rowOff>0</xdr:rowOff>
                  </from>
                  <to>
                    <xdr:col>5</xdr:col>
                    <xdr:colOff>0</xdr:colOff>
                    <xdr:row>410</xdr:row>
                    <xdr:rowOff>47625</xdr:rowOff>
                  </to>
                </anchor>
              </controlPr>
            </control>
          </mc:Choice>
        </mc:AlternateContent>
        <mc:AlternateContent xmlns:mc="http://schemas.openxmlformats.org/markup-compatibility/2006">
          <mc:Choice Requires="x14">
            <control shapeId="108922" r:id="rId480" name="Check Box 3450">
              <controlPr defaultSize="0" autoFill="0" autoLine="0" autoPict="0">
                <anchor>
                  <from>
                    <xdr:col>0</xdr:col>
                    <xdr:colOff>0</xdr:colOff>
                    <xdr:row>410</xdr:row>
                    <xdr:rowOff>0</xdr:rowOff>
                  </from>
                  <to>
                    <xdr:col>5</xdr:col>
                    <xdr:colOff>0</xdr:colOff>
                    <xdr:row>411</xdr:row>
                    <xdr:rowOff>47625</xdr:rowOff>
                  </to>
                </anchor>
              </controlPr>
            </control>
          </mc:Choice>
        </mc:AlternateContent>
        <mc:AlternateContent xmlns:mc="http://schemas.openxmlformats.org/markup-compatibility/2006">
          <mc:Choice Requires="x14">
            <control shapeId="108923" r:id="rId481" name="Check Box 3451">
              <controlPr defaultSize="0" autoFill="0" autoLine="0" autoPict="0">
                <anchor>
                  <from>
                    <xdr:col>0</xdr:col>
                    <xdr:colOff>0</xdr:colOff>
                    <xdr:row>411</xdr:row>
                    <xdr:rowOff>0</xdr:rowOff>
                  </from>
                  <to>
                    <xdr:col>5</xdr:col>
                    <xdr:colOff>0</xdr:colOff>
                    <xdr:row>412</xdr:row>
                    <xdr:rowOff>47625</xdr:rowOff>
                  </to>
                </anchor>
              </controlPr>
            </control>
          </mc:Choice>
        </mc:AlternateContent>
        <mc:AlternateContent xmlns:mc="http://schemas.openxmlformats.org/markup-compatibility/2006">
          <mc:Choice Requires="x14">
            <control shapeId="108924" r:id="rId482" name="Check Box 3452">
              <controlPr defaultSize="0" autoFill="0" autoLine="0" autoPict="0">
                <anchor>
                  <from>
                    <xdr:col>0</xdr:col>
                    <xdr:colOff>0</xdr:colOff>
                    <xdr:row>412</xdr:row>
                    <xdr:rowOff>0</xdr:rowOff>
                  </from>
                  <to>
                    <xdr:col>5</xdr:col>
                    <xdr:colOff>0</xdr:colOff>
                    <xdr:row>413</xdr:row>
                    <xdr:rowOff>47625</xdr:rowOff>
                  </to>
                </anchor>
              </controlPr>
            </control>
          </mc:Choice>
        </mc:AlternateContent>
        <mc:AlternateContent xmlns:mc="http://schemas.openxmlformats.org/markup-compatibility/2006">
          <mc:Choice Requires="x14">
            <control shapeId="108925" r:id="rId483" name="Check Box 3453">
              <controlPr defaultSize="0" autoFill="0" autoLine="0" autoPict="0">
                <anchor>
                  <from>
                    <xdr:col>0</xdr:col>
                    <xdr:colOff>0</xdr:colOff>
                    <xdr:row>413</xdr:row>
                    <xdr:rowOff>0</xdr:rowOff>
                  </from>
                  <to>
                    <xdr:col>5</xdr:col>
                    <xdr:colOff>0</xdr:colOff>
                    <xdr:row>414</xdr:row>
                    <xdr:rowOff>47625</xdr:rowOff>
                  </to>
                </anchor>
              </controlPr>
            </control>
          </mc:Choice>
        </mc:AlternateContent>
        <mc:AlternateContent xmlns:mc="http://schemas.openxmlformats.org/markup-compatibility/2006">
          <mc:Choice Requires="x14">
            <control shapeId="108926" r:id="rId484" name="Check Box 3454">
              <controlPr defaultSize="0" autoFill="0" autoLine="0" autoPict="0">
                <anchor>
                  <from>
                    <xdr:col>0</xdr:col>
                    <xdr:colOff>0</xdr:colOff>
                    <xdr:row>414</xdr:row>
                    <xdr:rowOff>0</xdr:rowOff>
                  </from>
                  <to>
                    <xdr:col>5</xdr:col>
                    <xdr:colOff>0</xdr:colOff>
                    <xdr:row>415</xdr:row>
                    <xdr:rowOff>47625</xdr:rowOff>
                  </to>
                </anchor>
              </controlPr>
            </control>
          </mc:Choice>
        </mc:AlternateContent>
        <mc:AlternateContent xmlns:mc="http://schemas.openxmlformats.org/markup-compatibility/2006">
          <mc:Choice Requires="x14">
            <control shapeId="108927" r:id="rId485" name="Check Box 3455">
              <controlPr defaultSize="0" autoFill="0" autoLine="0" autoPict="0">
                <anchor>
                  <from>
                    <xdr:col>0</xdr:col>
                    <xdr:colOff>0</xdr:colOff>
                    <xdr:row>415</xdr:row>
                    <xdr:rowOff>0</xdr:rowOff>
                  </from>
                  <to>
                    <xdr:col>5</xdr:col>
                    <xdr:colOff>0</xdr:colOff>
                    <xdr:row>416</xdr:row>
                    <xdr:rowOff>47625</xdr:rowOff>
                  </to>
                </anchor>
              </controlPr>
            </control>
          </mc:Choice>
        </mc:AlternateContent>
        <mc:AlternateContent xmlns:mc="http://schemas.openxmlformats.org/markup-compatibility/2006">
          <mc:Choice Requires="x14">
            <control shapeId="108928" r:id="rId486" name="Check Box 3456">
              <controlPr defaultSize="0" autoFill="0" autoLine="0" autoPict="0">
                <anchor>
                  <from>
                    <xdr:col>0</xdr:col>
                    <xdr:colOff>0</xdr:colOff>
                    <xdr:row>416</xdr:row>
                    <xdr:rowOff>0</xdr:rowOff>
                  </from>
                  <to>
                    <xdr:col>5</xdr:col>
                    <xdr:colOff>0</xdr:colOff>
                    <xdr:row>417</xdr:row>
                    <xdr:rowOff>47625</xdr:rowOff>
                  </to>
                </anchor>
              </controlPr>
            </control>
          </mc:Choice>
        </mc:AlternateContent>
        <mc:AlternateContent xmlns:mc="http://schemas.openxmlformats.org/markup-compatibility/2006">
          <mc:Choice Requires="x14">
            <control shapeId="108929" r:id="rId487" name="Check Box 3457">
              <controlPr defaultSize="0" autoFill="0" autoLine="0" autoPict="0">
                <anchor>
                  <from>
                    <xdr:col>0</xdr:col>
                    <xdr:colOff>0</xdr:colOff>
                    <xdr:row>417</xdr:row>
                    <xdr:rowOff>0</xdr:rowOff>
                  </from>
                  <to>
                    <xdr:col>5</xdr:col>
                    <xdr:colOff>0</xdr:colOff>
                    <xdr:row>418</xdr:row>
                    <xdr:rowOff>47625</xdr:rowOff>
                  </to>
                </anchor>
              </controlPr>
            </control>
          </mc:Choice>
        </mc:AlternateContent>
        <mc:AlternateContent xmlns:mc="http://schemas.openxmlformats.org/markup-compatibility/2006">
          <mc:Choice Requires="x14">
            <control shapeId="108930" r:id="rId488" name="Check Box 3458">
              <controlPr defaultSize="0" autoFill="0" autoLine="0" autoPict="0">
                <anchor>
                  <from>
                    <xdr:col>0</xdr:col>
                    <xdr:colOff>0</xdr:colOff>
                    <xdr:row>418</xdr:row>
                    <xdr:rowOff>0</xdr:rowOff>
                  </from>
                  <to>
                    <xdr:col>5</xdr:col>
                    <xdr:colOff>0</xdr:colOff>
                    <xdr:row>419</xdr:row>
                    <xdr:rowOff>47625</xdr:rowOff>
                  </to>
                </anchor>
              </controlPr>
            </control>
          </mc:Choice>
        </mc:AlternateContent>
        <mc:AlternateContent xmlns:mc="http://schemas.openxmlformats.org/markup-compatibility/2006">
          <mc:Choice Requires="x14">
            <control shapeId="108931" r:id="rId489" name="Check Box 3459">
              <controlPr defaultSize="0" autoFill="0" autoLine="0" autoPict="0">
                <anchor>
                  <from>
                    <xdr:col>0</xdr:col>
                    <xdr:colOff>0</xdr:colOff>
                    <xdr:row>419</xdr:row>
                    <xdr:rowOff>0</xdr:rowOff>
                  </from>
                  <to>
                    <xdr:col>5</xdr:col>
                    <xdr:colOff>0</xdr:colOff>
                    <xdr:row>420</xdr:row>
                    <xdr:rowOff>47625</xdr:rowOff>
                  </to>
                </anchor>
              </controlPr>
            </control>
          </mc:Choice>
        </mc:AlternateContent>
        <mc:AlternateContent xmlns:mc="http://schemas.openxmlformats.org/markup-compatibility/2006">
          <mc:Choice Requires="x14">
            <control shapeId="108932" r:id="rId490" name="Check Box 3460">
              <controlPr defaultSize="0" autoFill="0" autoLine="0" autoPict="0">
                <anchor>
                  <from>
                    <xdr:col>0</xdr:col>
                    <xdr:colOff>0</xdr:colOff>
                    <xdr:row>420</xdr:row>
                    <xdr:rowOff>0</xdr:rowOff>
                  </from>
                  <to>
                    <xdr:col>5</xdr:col>
                    <xdr:colOff>0</xdr:colOff>
                    <xdr:row>421</xdr:row>
                    <xdr:rowOff>47625</xdr:rowOff>
                  </to>
                </anchor>
              </controlPr>
            </control>
          </mc:Choice>
        </mc:AlternateContent>
        <mc:AlternateContent xmlns:mc="http://schemas.openxmlformats.org/markup-compatibility/2006">
          <mc:Choice Requires="x14">
            <control shapeId="108933" r:id="rId491" name="Check Box 3461">
              <controlPr defaultSize="0" autoFill="0" autoLine="0" autoPict="0">
                <anchor>
                  <from>
                    <xdr:col>0</xdr:col>
                    <xdr:colOff>0</xdr:colOff>
                    <xdr:row>421</xdr:row>
                    <xdr:rowOff>0</xdr:rowOff>
                  </from>
                  <to>
                    <xdr:col>5</xdr:col>
                    <xdr:colOff>0</xdr:colOff>
                    <xdr:row>422</xdr:row>
                    <xdr:rowOff>47625</xdr:rowOff>
                  </to>
                </anchor>
              </controlPr>
            </control>
          </mc:Choice>
        </mc:AlternateContent>
        <mc:AlternateContent xmlns:mc="http://schemas.openxmlformats.org/markup-compatibility/2006">
          <mc:Choice Requires="x14">
            <control shapeId="108934" r:id="rId492" name="Check Box 3462">
              <controlPr defaultSize="0" autoFill="0" autoLine="0" autoPict="0">
                <anchor>
                  <from>
                    <xdr:col>0</xdr:col>
                    <xdr:colOff>0</xdr:colOff>
                    <xdr:row>422</xdr:row>
                    <xdr:rowOff>0</xdr:rowOff>
                  </from>
                  <to>
                    <xdr:col>5</xdr:col>
                    <xdr:colOff>0</xdr:colOff>
                    <xdr:row>423</xdr:row>
                    <xdr:rowOff>47625</xdr:rowOff>
                  </to>
                </anchor>
              </controlPr>
            </control>
          </mc:Choice>
        </mc:AlternateContent>
        <mc:AlternateContent xmlns:mc="http://schemas.openxmlformats.org/markup-compatibility/2006">
          <mc:Choice Requires="x14">
            <control shapeId="108935" r:id="rId493" name="Check Box 3463">
              <controlPr defaultSize="0" autoFill="0" autoLine="0" autoPict="0">
                <anchor>
                  <from>
                    <xdr:col>0</xdr:col>
                    <xdr:colOff>0</xdr:colOff>
                    <xdr:row>423</xdr:row>
                    <xdr:rowOff>0</xdr:rowOff>
                  </from>
                  <to>
                    <xdr:col>5</xdr:col>
                    <xdr:colOff>0</xdr:colOff>
                    <xdr:row>424</xdr:row>
                    <xdr:rowOff>47625</xdr:rowOff>
                  </to>
                </anchor>
              </controlPr>
            </control>
          </mc:Choice>
        </mc:AlternateContent>
        <mc:AlternateContent xmlns:mc="http://schemas.openxmlformats.org/markup-compatibility/2006">
          <mc:Choice Requires="x14">
            <control shapeId="108936" r:id="rId494" name="Check Box 3464">
              <controlPr defaultSize="0" autoFill="0" autoLine="0" autoPict="0">
                <anchor>
                  <from>
                    <xdr:col>0</xdr:col>
                    <xdr:colOff>0</xdr:colOff>
                    <xdr:row>424</xdr:row>
                    <xdr:rowOff>0</xdr:rowOff>
                  </from>
                  <to>
                    <xdr:col>5</xdr:col>
                    <xdr:colOff>0</xdr:colOff>
                    <xdr:row>425</xdr:row>
                    <xdr:rowOff>47625</xdr:rowOff>
                  </to>
                </anchor>
              </controlPr>
            </control>
          </mc:Choice>
        </mc:AlternateContent>
        <mc:AlternateContent xmlns:mc="http://schemas.openxmlformats.org/markup-compatibility/2006">
          <mc:Choice Requires="x14">
            <control shapeId="108937" r:id="rId495" name="Check Box 3465">
              <controlPr defaultSize="0" autoFill="0" autoLine="0" autoPict="0">
                <anchor>
                  <from>
                    <xdr:col>0</xdr:col>
                    <xdr:colOff>0</xdr:colOff>
                    <xdr:row>425</xdr:row>
                    <xdr:rowOff>0</xdr:rowOff>
                  </from>
                  <to>
                    <xdr:col>5</xdr:col>
                    <xdr:colOff>0</xdr:colOff>
                    <xdr:row>426</xdr:row>
                    <xdr:rowOff>47625</xdr:rowOff>
                  </to>
                </anchor>
              </controlPr>
            </control>
          </mc:Choice>
        </mc:AlternateContent>
        <mc:AlternateContent xmlns:mc="http://schemas.openxmlformats.org/markup-compatibility/2006">
          <mc:Choice Requires="x14">
            <control shapeId="108938" r:id="rId496" name="Check Box 3466">
              <controlPr defaultSize="0" autoFill="0" autoLine="0" autoPict="0">
                <anchor>
                  <from>
                    <xdr:col>0</xdr:col>
                    <xdr:colOff>0</xdr:colOff>
                    <xdr:row>426</xdr:row>
                    <xdr:rowOff>0</xdr:rowOff>
                  </from>
                  <to>
                    <xdr:col>5</xdr:col>
                    <xdr:colOff>0</xdr:colOff>
                    <xdr:row>427</xdr:row>
                    <xdr:rowOff>47625</xdr:rowOff>
                  </to>
                </anchor>
              </controlPr>
            </control>
          </mc:Choice>
        </mc:AlternateContent>
        <mc:AlternateContent xmlns:mc="http://schemas.openxmlformats.org/markup-compatibility/2006">
          <mc:Choice Requires="x14">
            <control shapeId="108939" r:id="rId497" name="Check Box 3467">
              <controlPr defaultSize="0" autoFill="0" autoLine="0" autoPict="0">
                <anchor>
                  <from>
                    <xdr:col>0</xdr:col>
                    <xdr:colOff>0</xdr:colOff>
                    <xdr:row>427</xdr:row>
                    <xdr:rowOff>0</xdr:rowOff>
                  </from>
                  <to>
                    <xdr:col>5</xdr:col>
                    <xdr:colOff>0</xdr:colOff>
                    <xdr:row>428</xdr:row>
                    <xdr:rowOff>47625</xdr:rowOff>
                  </to>
                </anchor>
              </controlPr>
            </control>
          </mc:Choice>
        </mc:AlternateContent>
        <mc:AlternateContent xmlns:mc="http://schemas.openxmlformats.org/markup-compatibility/2006">
          <mc:Choice Requires="x14">
            <control shapeId="108940" r:id="rId498" name="Check Box 3468">
              <controlPr defaultSize="0" autoFill="0" autoLine="0" autoPict="0">
                <anchor>
                  <from>
                    <xdr:col>0</xdr:col>
                    <xdr:colOff>0</xdr:colOff>
                    <xdr:row>428</xdr:row>
                    <xdr:rowOff>0</xdr:rowOff>
                  </from>
                  <to>
                    <xdr:col>5</xdr:col>
                    <xdr:colOff>0</xdr:colOff>
                    <xdr:row>429</xdr:row>
                    <xdr:rowOff>47625</xdr:rowOff>
                  </to>
                </anchor>
              </controlPr>
            </control>
          </mc:Choice>
        </mc:AlternateContent>
        <mc:AlternateContent xmlns:mc="http://schemas.openxmlformats.org/markup-compatibility/2006">
          <mc:Choice Requires="x14">
            <control shapeId="108941" r:id="rId499" name="Check Box 3469">
              <controlPr defaultSize="0" autoFill="0" autoLine="0" autoPict="0">
                <anchor>
                  <from>
                    <xdr:col>0</xdr:col>
                    <xdr:colOff>0</xdr:colOff>
                    <xdr:row>429</xdr:row>
                    <xdr:rowOff>0</xdr:rowOff>
                  </from>
                  <to>
                    <xdr:col>5</xdr:col>
                    <xdr:colOff>0</xdr:colOff>
                    <xdr:row>430</xdr:row>
                    <xdr:rowOff>47625</xdr:rowOff>
                  </to>
                </anchor>
              </controlPr>
            </control>
          </mc:Choice>
        </mc:AlternateContent>
        <mc:AlternateContent xmlns:mc="http://schemas.openxmlformats.org/markup-compatibility/2006">
          <mc:Choice Requires="x14">
            <control shapeId="108942" r:id="rId500" name="Check Box 3470">
              <controlPr defaultSize="0" autoFill="0" autoLine="0" autoPict="0">
                <anchor>
                  <from>
                    <xdr:col>0</xdr:col>
                    <xdr:colOff>0</xdr:colOff>
                    <xdr:row>430</xdr:row>
                    <xdr:rowOff>0</xdr:rowOff>
                  </from>
                  <to>
                    <xdr:col>5</xdr:col>
                    <xdr:colOff>0</xdr:colOff>
                    <xdr:row>431</xdr:row>
                    <xdr:rowOff>47625</xdr:rowOff>
                  </to>
                </anchor>
              </controlPr>
            </control>
          </mc:Choice>
        </mc:AlternateContent>
        <mc:AlternateContent xmlns:mc="http://schemas.openxmlformats.org/markup-compatibility/2006">
          <mc:Choice Requires="x14">
            <control shapeId="108943" r:id="rId501" name="Check Box 3471">
              <controlPr defaultSize="0" autoFill="0" autoLine="0" autoPict="0">
                <anchor>
                  <from>
                    <xdr:col>0</xdr:col>
                    <xdr:colOff>0</xdr:colOff>
                    <xdr:row>431</xdr:row>
                    <xdr:rowOff>0</xdr:rowOff>
                  </from>
                  <to>
                    <xdr:col>5</xdr:col>
                    <xdr:colOff>0</xdr:colOff>
                    <xdr:row>432</xdr:row>
                    <xdr:rowOff>47625</xdr:rowOff>
                  </to>
                </anchor>
              </controlPr>
            </control>
          </mc:Choice>
        </mc:AlternateContent>
        <mc:AlternateContent xmlns:mc="http://schemas.openxmlformats.org/markup-compatibility/2006">
          <mc:Choice Requires="x14">
            <control shapeId="108944" r:id="rId502" name="Check Box 3472">
              <controlPr defaultSize="0" autoFill="0" autoLine="0" autoPict="0">
                <anchor>
                  <from>
                    <xdr:col>0</xdr:col>
                    <xdr:colOff>0</xdr:colOff>
                    <xdr:row>432</xdr:row>
                    <xdr:rowOff>0</xdr:rowOff>
                  </from>
                  <to>
                    <xdr:col>5</xdr:col>
                    <xdr:colOff>0</xdr:colOff>
                    <xdr:row>433</xdr:row>
                    <xdr:rowOff>47625</xdr:rowOff>
                  </to>
                </anchor>
              </controlPr>
            </control>
          </mc:Choice>
        </mc:AlternateContent>
        <mc:AlternateContent xmlns:mc="http://schemas.openxmlformats.org/markup-compatibility/2006">
          <mc:Choice Requires="x14">
            <control shapeId="108945" r:id="rId503" name="Check Box 3473">
              <controlPr defaultSize="0" autoFill="0" autoLine="0" autoPict="0">
                <anchor>
                  <from>
                    <xdr:col>0</xdr:col>
                    <xdr:colOff>0</xdr:colOff>
                    <xdr:row>433</xdr:row>
                    <xdr:rowOff>0</xdr:rowOff>
                  </from>
                  <to>
                    <xdr:col>5</xdr:col>
                    <xdr:colOff>0</xdr:colOff>
                    <xdr:row>434</xdr:row>
                    <xdr:rowOff>47625</xdr:rowOff>
                  </to>
                </anchor>
              </controlPr>
            </control>
          </mc:Choice>
        </mc:AlternateContent>
        <mc:AlternateContent xmlns:mc="http://schemas.openxmlformats.org/markup-compatibility/2006">
          <mc:Choice Requires="x14">
            <control shapeId="108946" r:id="rId504" name="Check Box 3474">
              <controlPr defaultSize="0" autoFill="0" autoLine="0" autoPict="0">
                <anchor>
                  <from>
                    <xdr:col>0</xdr:col>
                    <xdr:colOff>0</xdr:colOff>
                    <xdr:row>434</xdr:row>
                    <xdr:rowOff>0</xdr:rowOff>
                  </from>
                  <to>
                    <xdr:col>5</xdr:col>
                    <xdr:colOff>0</xdr:colOff>
                    <xdr:row>435</xdr:row>
                    <xdr:rowOff>47625</xdr:rowOff>
                  </to>
                </anchor>
              </controlPr>
            </control>
          </mc:Choice>
        </mc:AlternateContent>
        <mc:AlternateContent xmlns:mc="http://schemas.openxmlformats.org/markup-compatibility/2006">
          <mc:Choice Requires="x14">
            <control shapeId="108947" r:id="rId505" name="Check Box 3475">
              <controlPr defaultSize="0" autoFill="0" autoLine="0" autoPict="0">
                <anchor>
                  <from>
                    <xdr:col>0</xdr:col>
                    <xdr:colOff>0</xdr:colOff>
                    <xdr:row>435</xdr:row>
                    <xdr:rowOff>0</xdr:rowOff>
                  </from>
                  <to>
                    <xdr:col>5</xdr:col>
                    <xdr:colOff>0</xdr:colOff>
                    <xdr:row>436</xdr:row>
                    <xdr:rowOff>47625</xdr:rowOff>
                  </to>
                </anchor>
              </controlPr>
            </control>
          </mc:Choice>
        </mc:AlternateContent>
        <mc:AlternateContent xmlns:mc="http://schemas.openxmlformats.org/markup-compatibility/2006">
          <mc:Choice Requires="x14">
            <control shapeId="108948" r:id="rId506" name="Check Box 3476">
              <controlPr defaultSize="0" autoFill="0" autoLine="0" autoPict="0">
                <anchor>
                  <from>
                    <xdr:col>0</xdr:col>
                    <xdr:colOff>0</xdr:colOff>
                    <xdr:row>436</xdr:row>
                    <xdr:rowOff>0</xdr:rowOff>
                  </from>
                  <to>
                    <xdr:col>5</xdr:col>
                    <xdr:colOff>0</xdr:colOff>
                    <xdr:row>437</xdr:row>
                    <xdr:rowOff>47625</xdr:rowOff>
                  </to>
                </anchor>
              </controlPr>
            </control>
          </mc:Choice>
        </mc:AlternateContent>
        <mc:AlternateContent xmlns:mc="http://schemas.openxmlformats.org/markup-compatibility/2006">
          <mc:Choice Requires="x14">
            <control shapeId="108949" r:id="rId507" name="Check Box 3477">
              <controlPr defaultSize="0" autoFill="0" autoLine="0" autoPict="0">
                <anchor>
                  <from>
                    <xdr:col>0</xdr:col>
                    <xdr:colOff>0</xdr:colOff>
                    <xdr:row>437</xdr:row>
                    <xdr:rowOff>0</xdr:rowOff>
                  </from>
                  <to>
                    <xdr:col>5</xdr:col>
                    <xdr:colOff>0</xdr:colOff>
                    <xdr:row>438</xdr:row>
                    <xdr:rowOff>47625</xdr:rowOff>
                  </to>
                </anchor>
              </controlPr>
            </control>
          </mc:Choice>
        </mc:AlternateContent>
        <mc:AlternateContent xmlns:mc="http://schemas.openxmlformats.org/markup-compatibility/2006">
          <mc:Choice Requires="x14">
            <control shapeId="108950" r:id="rId508" name="Check Box 3478">
              <controlPr defaultSize="0" autoFill="0" autoLine="0" autoPict="0">
                <anchor>
                  <from>
                    <xdr:col>0</xdr:col>
                    <xdr:colOff>0</xdr:colOff>
                    <xdr:row>438</xdr:row>
                    <xdr:rowOff>0</xdr:rowOff>
                  </from>
                  <to>
                    <xdr:col>5</xdr:col>
                    <xdr:colOff>0</xdr:colOff>
                    <xdr:row>439</xdr:row>
                    <xdr:rowOff>47625</xdr:rowOff>
                  </to>
                </anchor>
              </controlPr>
            </control>
          </mc:Choice>
        </mc:AlternateContent>
        <mc:AlternateContent xmlns:mc="http://schemas.openxmlformats.org/markup-compatibility/2006">
          <mc:Choice Requires="x14">
            <control shapeId="108951" r:id="rId509" name="Check Box 3479">
              <controlPr defaultSize="0" autoFill="0" autoLine="0" autoPict="0">
                <anchor>
                  <from>
                    <xdr:col>0</xdr:col>
                    <xdr:colOff>0</xdr:colOff>
                    <xdr:row>439</xdr:row>
                    <xdr:rowOff>0</xdr:rowOff>
                  </from>
                  <to>
                    <xdr:col>5</xdr:col>
                    <xdr:colOff>0</xdr:colOff>
                    <xdr:row>440</xdr:row>
                    <xdr:rowOff>47625</xdr:rowOff>
                  </to>
                </anchor>
              </controlPr>
            </control>
          </mc:Choice>
        </mc:AlternateContent>
        <mc:AlternateContent xmlns:mc="http://schemas.openxmlformats.org/markup-compatibility/2006">
          <mc:Choice Requires="x14">
            <control shapeId="108952" r:id="rId510" name="Check Box 3480">
              <controlPr defaultSize="0" autoFill="0" autoLine="0" autoPict="0">
                <anchor>
                  <from>
                    <xdr:col>0</xdr:col>
                    <xdr:colOff>0</xdr:colOff>
                    <xdr:row>440</xdr:row>
                    <xdr:rowOff>0</xdr:rowOff>
                  </from>
                  <to>
                    <xdr:col>5</xdr:col>
                    <xdr:colOff>0</xdr:colOff>
                    <xdr:row>441</xdr:row>
                    <xdr:rowOff>47625</xdr:rowOff>
                  </to>
                </anchor>
              </controlPr>
            </control>
          </mc:Choice>
        </mc:AlternateContent>
        <mc:AlternateContent xmlns:mc="http://schemas.openxmlformats.org/markup-compatibility/2006">
          <mc:Choice Requires="x14">
            <control shapeId="108953" r:id="rId511" name="Check Box 3481">
              <controlPr defaultSize="0" autoFill="0" autoLine="0" autoPict="0">
                <anchor>
                  <from>
                    <xdr:col>0</xdr:col>
                    <xdr:colOff>0</xdr:colOff>
                    <xdr:row>441</xdr:row>
                    <xdr:rowOff>0</xdr:rowOff>
                  </from>
                  <to>
                    <xdr:col>5</xdr:col>
                    <xdr:colOff>0</xdr:colOff>
                    <xdr:row>442</xdr:row>
                    <xdr:rowOff>47625</xdr:rowOff>
                  </to>
                </anchor>
              </controlPr>
            </control>
          </mc:Choice>
        </mc:AlternateContent>
        <mc:AlternateContent xmlns:mc="http://schemas.openxmlformats.org/markup-compatibility/2006">
          <mc:Choice Requires="x14">
            <control shapeId="108954" r:id="rId512" name="Check Box 3482">
              <controlPr defaultSize="0" autoFill="0" autoLine="0" autoPict="0">
                <anchor>
                  <from>
                    <xdr:col>0</xdr:col>
                    <xdr:colOff>0</xdr:colOff>
                    <xdr:row>442</xdr:row>
                    <xdr:rowOff>0</xdr:rowOff>
                  </from>
                  <to>
                    <xdr:col>5</xdr:col>
                    <xdr:colOff>0</xdr:colOff>
                    <xdr:row>443</xdr:row>
                    <xdr:rowOff>47625</xdr:rowOff>
                  </to>
                </anchor>
              </controlPr>
            </control>
          </mc:Choice>
        </mc:AlternateContent>
        <mc:AlternateContent xmlns:mc="http://schemas.openxmlformats.org/markup-compatibility/2006">
          <mc:Choice Requires="x14">
            <control shapeId="108955" r:id="rId513" name="Check Box 3483">
              <controlPr defaultSize="0" autoFill="0" autoLine="0" autoPict="0">
                <anchor>
                  <from>
                    <xdr:col>0</xdr:col>
                    <xdr:colOff>0</xdr:colOff>
                    <xdr:row>443</xdr:row>
                    <xdr:rowOff>0</xdr:rowOff>
                  </from>
                  <to>
                    <xdr:col>5</xdr:col>
                    <xdr:colOff>0</xdr:colOff>
                    <xdr:row>444</xdr:row>
                    <xdr:rowOff>47625</xdr:rowOff>
                  </to>
                </anchor>
              </controlPr>
            </control>
          </mc:Choice>
        </mc:AlternateContent>
        <mc:AlternateContent xmlns:mc="http://schemas.openxmlformats.org/markup-compatibility/2006">
          <mc:Choice Requires="x14">
            <control shapeId="108956" r:id="rId514" name="Check Box 3484">
              <controlPr defaultSize="0" autoFill="0" autoLine="0" autoPict="0">
                <anchor>
                  <from>
                    <xdr:col>0</xdr:col>
                    <xdr:colOff>0</xdr:colOff>
                    <xdr:row>444</xdr:row>
                    <xdr:rowOff>0</xdr:rowOff>
                  </from>
                  <to>
                    <xdr:col>5</xdr:col>
                    <xdr:colOff>0</xdr:colOff>
                    <xdr:row>445</xdr:row>
                    <xdr:rowOff>47625</xdr:rowOff>
                  </to>
                </anchor>
              </controlPr>
            </control>
          </mc:Choice>
        </mc:AlternateContent>
        <mc:AlternateContent xmlns:mc="http://schemas.openxmlformats.org/markup-compatibility/2006">
          <mc:Choice Requires="x14">
            <control shapeId="108957" r:id="rId515" name="Check Box 3485">
              <controlPr defaultSize="0" autoFill="0" autoLine="0" autoPict="0">
                <anchor>
                  <from>
                    <xdr:col>0</xdr:col>
                    <xdr:colOff>0</xdr:colOff>
                    <xdr:row>445</xdr:row>
                    <xdr:rowOff>0</xdr:rowOff>
                  </from>
                  <to>
                    <xdr:col>5</xdr:col>
                    <xdr:colOff>0</xdr:colOff>
                    <xdr:row>446</xdr:row>
                    <xdr:rowOff>47625</xdr:rowOff>
                  </to>
                </anchor>
              </controlPr>
            </control>
          </mc:Choice>
        </mc:AlternateContent>
        <mc:AlternateContent xmlns:mc="http://schemas.openxmlformats.org/markup-compatibility/2006">
          <mc:Choice Requires="x14">
            <control shapeId="108958" r:id="rId516" name="Check Box 3486">
              <controlPr defaultSize="0" autoFill="0" autoLine="0" autoPict="0">
                <anchor>
                  <from>
                    <xdr:col>0</xdr:col>
                    <xdr:colOff>0</xdr:colOff>
                    <xdr:row>446</xdr:row>
                    <xdr:rowOff>0</xdr:rowOff>
                  </from>
                  <to>
                    <xdr:col>5</xdr:col>
                    <xdr:colOff>0</xdr:colOff>
                    <xdr:row>447</xdr:row>
                    <xdr:rowOff>47625</xdr:rowOff>
                  </to>
                </anchor>
              </controlPr>
            </control>
          </mc:Choice>
        </mc:AlternateContent>
        <mc:AlternateContent xmlns:mc="http://schemas.openxmlformats.org/markup-compatibility/2006">
          <mc:Choice Requires="x14">
            <control shapeId="108959" r:id="rId517" name="Check Box 3487">
              <controlPr defaultSize="0" autoFill="0" autoLine="0" autoPict="0">
                <anchor>
                  <from>
                    <xdr:col>0</xdr:col>
                    <xdr:colOff>0</xdr:colOff>
                    <xdr:row>447</xdr:row>
                    <xdr:rowOff>0</xdr:rowOff>
                  </from>
                  <to>
                    <xdr:col>5</xdr:col>
                    <xdr:colOff>0</xdr:colOff>
                    <xdr:row>448</xdr:row>
                    <xdr:rowOff>47625</xdr:rowOff>
                  </to>
                </anchor>
              </controlPr>
            </control>
          </mc:Choice>
        </mc:AlternateContent>
        <mc:AlternateContent xmlns:mc="http://schemas.openxmlformats.org/markup-compatibility/2006">
          <mc:Choice Requires="x14">
            <control shapeId="108960" r:id="rId518" name="Check Box 3488">
              <controlPr defaultSize="0" autoFill="0" autoLine="0" autoPict="0">
                <anchor>
                  <from>
                    <xdr:col>0</xdr:col>
                    <xdr:colOff>0</xdr:colOff>
                    <xdr:row>448</xdr:row>
                    <xdr:rowOff>0</xdr:rowOff>
                  </from>
                  <to>
                    <xdr:col>5</xdr:col>
                    <xdr:colOff>0</xdr:colOff>
                    <xdr:row>449</xdr:row>
                    <xdr:rowOff>47625</xdr:rowOff>
                  </to>
                </anchor>
              </controlPr>
            </control>
          </mc:Choice>
        </mc:AlternateContent>
        <mc:AlternateContent xmlns:mc="http://schemas.openxmlformats.org/markup-compatibility/2006">
          <mc:Choice Requires="x14">
            <control shapeId="108961" r:id="rId519" name="Check Box 3489">
              <controlPr defaultSize="0" autoFill="0" autoLine="0" autoPict="0">
                <anchor>
                  <from>
                    <xdr:col>0</xdr:col>
                    <xdr:colOff>0</xdr:colOff>
                    <xdr:row>449</xdr:row>
                    <xdr:rowOff>0</xdr:rowOff>
                  </from>
                  <to>
                    <xdr:col>5</xdr:col>
                    <xdr:colOff>0</xdr:colOff>
                    <xdr:row>450</xdr:row>
                    <xdr:rowOff>47625</xdr:rowOff>
                  </to>
                </anchor>
              </controlPr>
            </control>
          </mc:Choice>
        </mc:AlternateContent>
        <mc:AlternateContent xmlns:mc="http://schemas.openxmlformats.org/markup-compatibility/2006">
          <mc:Choice Requires="x14">
            <control shapeId="108962" r:id="rId520" name="Check Box 3490">
              <controlPr defaultSize="0" autoFill="0" autoLine="0" autoPict="0">
                <anchor>
                  <from>
                    <xdr:col>0</xdr:col>
                    <xdr:colOff>0</xdr:colOff>
                    <xdr:row>450</xdr:row>
                    <xdr:rowOff>0</xdr:rowOff>
                  </from>
                  <to>
                    <xdr:col>5</xdr:col>
                    <xdr:colOff>0</xdr:colOff>
                    <xdr:row>451</xdr:row>
                    <xdr:rowOff>47625</xdr:rowOff>
                  </to>
                </anchor>
              </controlPr>
            </control>
          </mc:Choice>
        </mc:AlternateContent>
        <mc:AlternateContent xmlns:mc="http://schemas.openxmlformats.org/markup-compatibility/2006">
          <mc:Choice Requires="x14">
            <control shapeId="108963" r:id="rId521" name="Check Box 3491">
              <controlPr defaultSize="0" autoFill="0" autoLine="0" autoPict="0">
                <anchor>
                  <from>
                    <xdr:col>0</xdr:col>
                    <xdr:colOff>0</xdr:colOff>
                    <xdr:row>451</xdr:row>
                    <xdr:rowOff>0</xdr:rowOff>
                  </from>
                  <to>
                    <xdr:col>5</xdr:col>
                    <xdr:colOff>0</xdr:colOff>
                    <xdr:row>452</xdr:row>
                    <xdr:rowOff>47625</xdr:rowOff>
                  </to>
                </anchor>
              </controlPr>
            </control>
          </mc:Choice>
        </mc:AlternateContent>
        <mc:AlternateContent xmlns:mc="http://schemas.openxmlformats.org/markup-compatibility/2006">
          <mc:Choice Requires="x14">
            <control shapeId="108964" r:id="rId522" name="Check Box 3492">
              <controlPr defaultSize="0" autoFill="0" autoLine="0" autoPict="0">
                <anchor>
                  <from>
                    <xdr:col>0</xdr:col>
                    <xdr:colOff>0</xdr:colOff>
                    <xdr:row>452</xdr:row>
                    <xdr:rowOff>0</xdr:rowOff>
                  </from>
                  <to>
                    <xdr:col>5</xdr:col>
                    <xdr:colOff>0</xdr:colOff>
                    <xdr:row>453</xdr:row>
                    <xdr:rowOff>47625</xdr:rowOff>
                  </to>
                </anchor>
              </controlPr>
            </control>
          </mc:Choice>
        </mc:AlternateContent>
        <mc:AlternateContent xmlns:mc="http://schemas.openxmlformats.org/markup-compatibility/2006">
          <mc:Choice Requires="x14">
            <control shapeId="108965" r:id="rId523" name="Check Box 3493">
              <controlPr defaultSize="0" autoFill="0" autoLine="0" autoPict="0">
                <anchor>
                  <from>
                    <xdr:col>0</xdr:col>
                    <xdr:colOff>0</xdr:colOff>
                    <xdr:row>453</xdr:row>
                    <xdr:rowOff>0</xdr:rowOff>
                  </from>
                  <to>
                    <xdr:col>5</xdr:col>
                    <xdr:colOff>0</xdr:colOff>
                    <xdr:row>454</xdr:row>
                    <xdr:rowOff>47625</xdr:rowOff>
                  </to>
                </anchor>
              </controlPr>
            </control>
          </mc:Choice>
        </mc:AlternateContent>
        <mc:AlternateContent xmlns:mc="http://schemas.openxmlformats.org/markup-compatibility/2006">
          <mc:Choice Requires="x14">
            <control shapeId="108966" r:id="rId524" name="Check Box 3494">
              <controlPr defaultSize="0" autoFill="0" autoLine="0" autoPict="0">
                <anchor>
                  <from>
                    <xdr:col>0</xdr:col>
                    <xdr:colOff>0</xdr:colOff>
                    <xdr:row>454</xdr:row>
                    <xdr:rowOff>0</xdr:rowOff>
                  </from>
                  <to>
                    <xdr:col>5</xdr:col>
                    <xdr:colOff>0</xdr:colOff>
                    <xdr:row>455</xdr:row>
                    <xdr:rowOff>47625</xdr:rowOff>
                  </to>
                </anchor>
              </controlPr>
            </control>
          </mc:Choice>
        </mc:AlternateContent>
        <mc:AlternateContent xmlns:mc="http://schemas.openxmlformats.org/markup-compatibility/2006">
          <mc:Choice Requires="x14">
            <control shapeId="108967" r:id="rId525" name="Check Box 3495">
              <controlPr defaultSize="0" autoFill="0" autoLine="0" autoPict="0">
                <anchor>
                  <from>
                    <xdr:col>0</xdr:col>
                    <xdr:colOff>0</xdr:colOff>
                    <xdr:row>455</xdr:row>
                    <xdr:rowOff>0</xdr:rowOff>
                  </from>
                  <to>
                    <xdr:col>5</xdr:col>
                    <xdr:colOff>0</xdr:colOff>
                    <xdr:row>456</xdr:row>
                    <xdr:rowOff>47625</xdr:rowOff>
                  </to>
                </anchor>
              </controlPr>
            </control>
          </mc:Choice>
        </mc:AlternateContent>
        <mc:AlternateContent xmlns:mc="http://schemas.openxmlformats.org/markup-compatibility/2006">
          <mc:Choice Requires="x14">
            <control shapeId="108968" r:id="rId526" name="Check Box 3496">
              <controlPr defaultSize="0" autoFill="0" autoLine="0" autoPict="0">
                <anchor>
                  <from>
                    <xdr:col>0</xdr:col>
                    <xdr:colOff>0</xdr:colOff>
                    <xdr:row>456</xdr:row>
                    <xdr:rowOff>0</xdr:rowOff>
                  </from>
                  <to>
                    <xdr:col>5</xdr:col>
                    <xdr:colOff>0</xdr:colOff>
                    <xdr:row>457</xdr:row>
                    <xdr:rowOff>47625</xdr:rowOff>
                  </to>
                </anchor>
              </controlPr>
            </control>
          </mc:Choice>
        </mc:AlternateContent>
        <mc:AlternateContent xmlns:mc="http://schemas.openxmlformats.org/markup-compatibility/2006">
          <mc:Choice Requires="x14">
            <control shapeId="108969" r:id="rId527" name="Check Box 3497">
              <controlPr defaultSize="0" autoFill="0" autoLine="0" autoPict="0">
                <anchor>
                  <from>
                    <xdr:col>0</xdr:col>
                    <xdr:colOff>0</xdr:colOff>
                    <xdr:row>457</xdr:row>
                    <xdr:rowOff>0</xdr:rowOff>
                  </from>
                  <to>
                    <xdr:col>5</xdr:col>
                    <xdr:colOff>0</xdr:colOff>
                    <xdr:row>458</xdr:row>
                    <xdr:rowOff>47625</xdr:rowOff>
                  </to>
                </anchor>
              </controlPr>
            </control>
          </mc:Choice>
        </mc:AlternateContent>
        <mc:AlternateContent xmlns:mc="http://schemas.openxmlformats.org/markup-compatibility/2006">
          <mc:Choice Requires="x14">
            <control shapeId="108970" r:id="rId528" name="Check Box 3498">
              <controlPr defaultSize="0" autoFill="0" autoLine="0" autoPict="0">
                <anchor>
                  <from>
                    <xdr:col>0</xdr:col>
                    <xdr:colOff>0</xdr:colOff>
                    <xdr:row>458</xdr:row>
                    <xdr:rowOff>0</xdr:rowOff>
                  </from>
                  <to>
                    <xdr:col>5</xdr:col>
                    <xdr:colOff>0</xdr:colOff>
                    <xdr:row>459</xdr:row>
                    <xdr:rowOff>47625</xdr:rowOff>
                  </to>
                </anchor>
              </controlPr>
            </control>
          </mc:Choice>
        </mc:AlternateContent>
        <mc:AlternateContent xmlns:mc="http://schemas.openxmlformats.org/markup-compatibility/2006">
          <mc:Choice Requires="x14">
            <control shapeId="108971" r:id="rId529" name="Check Box 3499">
              <controlPr defaultSize="0" autoFill="0" autoLine="0" autoPict="0">
                <anchor>
                  <from>
                    <xdr:col>0</xdr:col>
                    <xdr:colOff>0</xdr:colOff>
                    <xdr:row>459</xdr:row>
                    <xdr:rowOff>0</xdr:rowOff>
                  </from>
                  <to>
                    <xdr:col>5</xdr:col>
                    <xdr:colOff>0</xdr:colOff>
                    <xdr:row>460</xdr:row>
                    <xdr:rowOff>47625</xdr:rowOff>
                  </to>
                </anchor>
              </controlPr>
            </control>
          </mc:Choice>
        </mc:AlternateContent>
        <mc:AlternateContent xmlns:mc="http://schemas.openxmlformats.org/markup-compatibility/2006">
          <mc:Choice Requires="x14">
            <control shapeId="108972" r:id="rId530" name="Check Box 3500">
              <controlPr defaultSize="0" autoFill="0" autoLine="0" autoPict="0">
                <anchor>
                  <from>
                    <xdr:col>0</xdr:col>
                    <xdr:colOff>0</xdr:colOff>
                    <xdr:row>460</xdr:row>
                    <xdr:rowOff>0</xdr:rowOff>
                  </from>
                  <to>
                    <xdr:col>5</xdr:col>
                    <xdr:colOff>0</xdr:colOff>
                    <xdr:row>461</xdr:row>
                    <xdr:rowOff>47625</xdr:rowOff>
                  </to>
                </anchor>
              </controlPr>
            </control>
          </mc:Choice>
        </mc:AlternateContent>
        <mc:AlternateContent xmlns:mc="http://schemas.openxmlformats.org/markup-compatibility/2006">
          <mc:Choice Requires="x14">
            <control shapeId="108973" r:id="rId531" name="Check Box 3501">
              <controlPr defaultSize="0" autoFill="0" autoLine="0" autoPict="0">
                <anchor>
                  <from>
                    <xdr:col>0</xdr:col>
                    <xdr:colOff>0</xdr:colOff>
                    <xdr:row>461</xdr:row>
                    <xdr:rowOff>0</xdr:rowOff>
                  </from>
                  <to>
                    <xdr:col>5</xdr:col>
                    <xdr:colOff>0</xdr:colOff>
                    <xdr:row>462</xdr:row>
                    <xdr:rowOff>47625</xdr:rowOff>
                  </to>
                </anchor>
              </controlPr>
            </control>
          </mc:Choice>
        </mc:AlternateContent>
        <mc:AlternateContent xmlns:mc="http://schemas.openxmlformats.org/markup-compatibility/2006">
          <mc:Choice Requires="x14">
            <control shapeId="108974" r:id="rId532" name="Check Box 3502">
              <controlPr defaultSize="0" autoFill="0" autoLine="0" autoPict="0">
                <anchor>
                  <from>
                    <xdr:col>0</xdr:col>
                    <xdr:colOff>0</xdr:colOff>
                    <xdr:row>462</xdr:row>
                    <xdr:rowOff>0</xdr:rowOff>
                  </from>
                  <to>
                    <xdr:col>5</xdr:col>
                    <xdr:colOff>0</xdr:colOff>
                    <xdr:row>463</xdr:row>
                    <xdr:rowOff>47625</xdr:rowOff>
                  </to>
                </anchor>
              </controlPr>
            </control>
          </mc:Choice>
        </mc:AlternateContent>
        <mc:AlternateContent xmlns:mc="http://schemas.openxmlformats.org/markup-compatibility/2006">
          <mc:Choice Requires="x14">
            <control shapeId="108975" r:id="rId533" name="Check Box 3503">
              <controlPr defaultSize="0" autoFill="0" autoLine="0" autoPict="0">
                <anchor>
                  <from>
                    <xdr:col>0</xdr:col>
                    <xdr:colOff>0</xdr:colOff>
                    <xdr:row>463</xdr:row>
                    <xdr:rowOff>0</xdr:rowOff>
                  </from>
                  <to>
                    <xdr:col>5</xdr:col>
                    <xdr:colOff>0</xdr:colOff>
                    <xdr:row>464</xdr:row>
                    <xdr:rowOff>47625</xdr:rowOff>
                  </to>
                </anchor>
              </controlPr>
            </control>
          </mc:Choice>
        </mc:AlternateContent>
        <mc:AlternateContent xmlns:mc="http://schemas.openxmlformats.org/markup-compatibility/2006">
          <mc:Choice Requires="x14">
            <control shapeId="108976" r:id="rId534" name="Check Box 3504">
              <controlPr defaultSize="0" autoFill="0" autoLine="0" autoPict="0">
                <anchor>
                  <from>
                    <xdr:col>0</xdr:col>
                    <xdr:colOff>0</xdr:colOff>
                    <xdr:row>464</xdr:row>
                    <xdr:rowOff>0</xdr:rowOff>
                  </from>
                  <to>
                    <xdr:col>5</xdr:col>
                    <xdr:colOff>0</xdr:colOff>
                    <xdr:row>465</xdr:row>
                    <xdr:rowOff>47625</xdr:rowOff>
                  </to>
                </anchor>
              </controlPr>
            </control>
          </mc:Choice>
        </mc:AlternateContent>
        <mc:AlternateContent xmlns:mc="http://schemas.openxmlformats.org/markup-compatibility/2006">
          <mc:Choice Requires="x14">
            <control shapeId="108977" r:id="rId535" name="Check Box 3505">
              <controlPr defaultSize="0" autoFill="0" autoLine="0" autoPict="0">
                <anchor>
                  <from>
                    <xdr:col>0</xdr:col>
                    <xdr:colOff>0</xdr:colOff>
                    <xdr:row>465</xdr:row>
                    <xdr:rowOff>0</xdr:rowOff>
                  </from>
                  <to>
                    <xdr:col>5</xdr:col>
                    <xdr:colOff>0</xdr:colOff>
                    <xdr:row>466</xdr:row>
                    <xdr:rowOff>47625</xdr:rowOff>
                  </to>
                </anchor>
              </controlPr>
            </control>
          </mc:Choice>
        </mc:AlternateContent>
        <mc:AlternateContent xmlns:mc="http://schemas.openxmlformats.org/markup-compatibility/2006">
          <mc:Choice Requires="x14">
            <control shapeId="108978" r:id="rId536" name="Check Box 3506">
              <controlPr defaultSize="0" autoFill="0" autoLine="0" autoPict="0">
                <anchor>
                  <from>
                    <xdr:col>0</xdr:col>
                    <xdr:colOff>0</xdr:colOff>
                    <xdr:row>466</xdr:row>
                    <xdr:rowOff>0</xdr:rowOff>
                  </from>
                  <to>
                    <xdr:col>5</xdr:col>
                    <xdr:colOff>0</xdr:colOff>
                    <xdr:row>467</xdr:row>
                    <xdr:rowOff>47625</xdr:rowOff>
                  </to>
                </anchor>
              </controlPr>
            </control>
          </mc:Choice>
        </mc:AlternateContent>
        <mc:AlternateContent xmlns:mc="http://schemas.openxmlformats.org/markup-compatibility/2006">
          <mc:Choice Requires="x14">
            <control shapeId="108979" r:id="rId537" name="Check Box 3507">
              <controlPr defaultSize="0" autoFill="0" autoLine="0" autoPict="0">
                <anchor>
                  <from>
                    <xdr:col>0</xdr:col>
                    <xdr:colOff>0</xdr:colOff>
                    <xdr:row>467</xdr:row>
                    <xdr:rowOff>0</xdr:rowOff>
                  </from>
                  <to>
                    <xdr:col>5</xdr:col>
                    <xdr:colOff>0</xdr:colOff>
                    <xdr:row>468</xdr:row>
                    <xdr:rowOff>47625</xdr:rowOff>
                  </to>
                </anchor>
              </controlPr>
            </control>
          </mc:Choice>
        </mc:AlternateContent>
        <mc:AlternateContent xmlns:mc="http://schemas.openxmlformats.org/markup-compatibility/2006">
          <mc:Choice Requires="x14">
            <control shapeId="108980" r:id="rId538" name="Check Box 3508">
              <controlPr defaultSize="0" autoFill="0" autoLine="0" autoPict="0">
                <anchor>
                  <from>
                    <xdr:col>0</xdr:col>
                    <xdr:colOff>0</xdr:colOff>
                    <xdr:row>468</xdr:row>
                    <xdr:rowOff>0</xdr:rowOff>
                  </from>
                  <to>
                    <xdr:col>5</xdr:col>
                    <xdr:colOff>0</xdr:colOff>
                    <xdr:row>469</xdr:row>
                    <xdr:rowOff>47625</xdr:rowOff>
                  </to>
                </anchor>
              </controlPr>
            </control>
          </mc:Choice>
        </mc:AlternateContent>
        <mc:AlternateContent xmlns:mc="http://schemas.openxmlformats.org/markup-compatibility/2006">
          <mc:Choice Requires="x14">
            <control shapeId="108981" r:id="rId539" name="Check Box 3509">
              <controlPr defaultSize="0" autoFill="0" autoLine="0" autoPict="0">
                <anchor>
                  <from>
                    <xdr:col>0</xdr:col>
                    <xdr:colOff>0</xdr:colOff>
                    <xdr:row>469</xdr:row>
                    <xdr:rowOff>0</xdr:rowOff>
                  </from>
                  <to>
                    <xdr:col>5</xdr:col>
                    <xdr:colOff>0</xdr:colOff>
                    <xdr:row>470</xdr:row>
                    <xdr:rowOff>47625</xdr:rowOff>
                  </to>
                </anchor>
              </controlPr>
            </control>
          </mc:Choice>
        </mc:AlternateContent>
        <mc:AlternateContent xmlns:mc="http://schemas.openxmlformats.org/markup-compatibility/2006">
          <mc:Choice Requires="x14">
            <control shapeId="108982" r:id="rId540" name="Check Box 3510">
              <controlPr defaultSize="0" autoFill="0" autoLine="0" autoPict="0">
                <anchor>
                  <from>
                    <xdr:col>0</xdr:col>
                    <xdr:colOff>0</xdr:colOff>
                    <xdr:row>470</xdr:row>
                    <xdr:rowOff>0</xdr:rowOff>
                  </from>
                  <to>
                    <xdr:col>5</xdr:col>
                    <xdr:colOff>0</xdr:colOff>
                    <xdr:row>471</xdr:row>
                    <xdr:rowOff>47625</xdr:rowOff>
                  </to>
                </anchor>
              </controlPr>
            </control>
          </mc:Choice>
        </mc:AlternateContent>
        <mc:AlternateContent xmlns:mc="http://schemas.openxmlformats.org/markup-compatibility/2006">
          <mc:Choice Requires="x14">
            <control shapeId="108983" r:id="rId541" name="Check Box 3511">
              <controlPr defaultSize="0" autoFill="0" autoLine="0" autoPict="0">
                <anchor>
                  <from>
                    <xdr:col>0</xdr:col>
                    <xdr:colOff>0</xdr:colOff>
                    <xdr:row>471</xdr:row>
                    <xdr:rowOff>0</xdr:rowOff>
                  </from>
                  <to>
                    <xdr:col>5</xdr:col>
                    <xdr:colOff>0</xdr:colOff>
                    <xdr:row>472</xdr:row>
                    <xdr:rowOff>47625</xdr:rowOff>
                  </to>
                </anchor>
              </controlPr>
            </control>
          </mc:Choice>
        </mc:AlternateContent>
        <mc:AlternateContent xmlns:mc="http://schemas.openxmlformats.org/markup-compatibility/2006">
          <mc:Choice Requires="x14">
            <control shapeId="108984" r:id="rId542" name="Check Box 3512">
              <controlPr defaultSize="0" autoFill="0" autoLine="0" autoPict="0">
                <anchor>
                  <from>
                    <xdr:col>0</xdr:col>
                    <xdr:colOff>0</xdr:colOff>
                    <xdr:row>472</xdr:row>
                    <xdr:rowOff>0</xdr:rowOff>
                  </from>
                  <to>
                    <xdr:col>5</xdr:col>
                    <xdr:colOff>0</xdr:colOff>
                    <xdr:row>473</xdr:row>
                    <xdr:rowOff>47625</xdr:rowOff>
                  </to>
                </anchor>
              </controlPr>
            </control>
          </mc:Choice>
        </mc:AlternateContent>
        <mc:AlternateContent xmlns:mc="http://schemas.openxmlformats.org/markup-compatibility/2006">
          <mc:Choice Requires="x14">
            <control shapeId="108985" r:id="rId543" name="Check Box 3513">
              <controlPr defaultSize="0" autoFill="0" autoLine="0" autoPict="0">
                <anchor>
                  <from>
                    <xdr:col>0</xdr:col>
                    <xdr:colOff>0</xdr:colOff>
                    <xdr:row>473</xdr:row>
                    <xdr:rowOff>0</xdr:rowOff>
                  </from>
                  <to>
                    <xdr:col>5</xdr:col>
                    <xdr:colOff>0</xdr:colOff>
                    <xdr:row>474</xdr:row>
                    <xdr:rowOff>47625</xdr:rowOff>
                  </to>
                </anchor>
              </controlPr>
            </control>
          </mc:Choice>
        </mc:AlternateContent>
        <mc:AlternateContent xmlns:mc="http://schemas.openxmlformats.org/markup-compatibility/2006">
          <mc:Choice Requires="x14">
            <control shapeId="108986" r:id="rId544" name="Check Box 3514">
              <controlPr defaultSize="0" autoFill="0" autoLine="0" autoPict="0">
                <anchor>
                  <from>
                    <xdr:col>0</xdr:col>
                    <xdr:colOff>0</xdr:colOff>
                    <xdr:row>474</xdr:row>
                    <xdr:rowOff>0</xdr:rowOff>
                  </from>
                  <to>
                    <xdr:col>5</xdr:col>
                    <xdr:colOff>0</xdr:colOff>
                    <xdr:row>475</xdr:row>
                    <xdr:rowOff>47625</xdr:rowOff>
                  </to>
                </anchor>
              </controlPr>
            </control>
          </mc:Choice>
        </mc:AlternateContent>
        <mc:AlternateContent xmlns:mc="http://schemas.openxmlformats.org/markup-compatibility/2006">
          <mc:Choice Requires="x14">
            <control shapeId="108987" r:id="rId545" name="Check Box 3515">
              <controlPr defaultSize="0" autoFill="0" autoLine="0" autoPict="0">
                <anchor>
                  <from>
                    <xdr:col>0</xdr:col>
                    <xdr:colOff>0</xdr:colOff>
                    <xdr:row>475</xdr:row>
                    <xdr:rowOff>0</xdr:rowOff>
                  </from>
                  <to>
                    <xdr:col>5</xdr:col>
                    <xdr:colOff>0</xdr:colOff>
                    <xdr:row>476</xdr:row>
                    <xdr:rowOff>47625</xdr:rowOff>
                  </to>
                </anchor>
              </controlPr>
            </control>
          </mc:Choice>
        </mc:AlternateContent>
        <mc:AlternateContent xmlns:mc="http://schemas.openxmlformats.org/markup-compatibility/2006">
          <mc:Choice Requires="x14">
            <control shapeId="108988" r:id="rId546" name="Check Box 3516">
              <controlPr defaultSize="0" autoFill="0" autoLine="0" autoPict="0">
                <anchor>
                  <from>
                    <xdr:col>0</xdr:col>
                    <xdr:colOff>0</xdr:colOff>
                    <xdr:row>476</xdr:row>
                    <xdr:rowOff>0</xdr:rowOff>
                  </from>
                  <to>
                    <xdr:col>5</xdr:col>
                    <xdr:colOff>0</xdr:colOff>
                    <xdr:row>477</xdr:row>
                    <xdr:rowOff>47625</xdr:rowOff>
                  </to>
                </anchor>
              </controlPr>
            </control>
          </mc:Choice>
        </mc:AlternateContent>
        <mc:AlternateContent xmlns:mc="http://schemas.openxmlformats.org/markup-compatibility/2006">
          <mc:Choice Requires="x14">
            <control shapeId="108989" r:id="rId547" name="Check Box 3517">
              <controlPr defaultSize="0" autoFill="0" autoLine="0" autoPict="0">
                <anchor>
                  <from>
                    <xdr:col>0</xdr:col>
                    <xdr:colOff>0</xdr:colOff>
                    <xdr:row>477</xdr:row>
                    <xdr:rowOff>0</xdr:rowOff>
                  </from>
                  <to>
                    <xdr:col>5</xdr:col>
                    <xdr:colOff>0</xdr:colOff>
                    <xdr:row>478</xdr:row>
                    <xdr:rowOff>47625</xdr:rowOff>
                  </to>
                </anchor>
              </controlPr>
            </control>
          </mc:Choice>
        </mc:AlternateContent>
        <mc:AlternateContent xmlns:mc="http://schemas.openxmlformats.org/markup-compatibility/2006">
          <mc:Choice Requires="x14">
            <control shapeId="108990" r:id="rId548" name="Check Box 3518">
              <controlPr defaultSize="0" autoFill="0" autoLine="0" autoPict="0">
                <anchor>
                  <from>
                    <xdr:col>0</xdr:col>
                    <xdr:colOff>0</xdr:colOff>
                    <xdr:row>478</xdr:row>
                    <xdr:rowOff>0</xdr:rowOff>
                  </from>
                  <to>
                    <xdr:col>5</xdr:col>
                    <xdr:colOff>0</xdr:colOff>
                    <xdr:row>479</xdr:row>
                    <xdr:rowOff>47625</xdr:rowOff>
                  </to>
                </anchor>
              </controlPr>
            </control>
          </mc:Choice>
        </mc:AlternateContent>
        <mc:AlternateContent xmlns:mc="http://schemas.openxmlformats.org/markup-compatibility/2006">
          <mc:Choice Requires="x14">
            <control shapeId="108991" r:id="rId549" name="Check Box 3519">
              <controlPr defaultSize="0" autoFill="0" autoLine="0" autoPict="0">
                <anchor>
                  <from>
                    <xdr:col>0</xdr:col>
                    <xdr:colOff>0</xdr:colOff>
                    <xdr:row>479</xdr:row>
                    <xdr:rowOff>0</xdr:rowOff>
                  </from>
                  <to>
                    <xdr:col>5</xdr:col>
                    <xdr:colOff>0</xdr:colOff>
                    <xdr:row>480</xdr:row>
                    <xdr:rowOff>47625</xdr:rowOff>
                  </to>
                </anchor>
              </controlPr>
            </control>
          </mc:Choice>
        </mc:AlternateContent>
        <mc:AlternateContent xmlns:mc="http://schemas.openxmlformats.org/markup-compatibility/2006">
          <mc:Choice Requires="x14">
            <control shapeId="108992" r:id="rId550" name="Check Box 3520">
              <controlPr defaultSize="0" autoFill="0" autoLine="0" autoPict="0">
                <anchor>
                  <from>
                    <xdr:col>0</xdr:col>
                    <xdr:colOff>0</xdr:colOff>
                    <xdr:row>480</xdr:row>
                    <xdr:rowOff>0</xdr:rowOff>
                  </from>
                  <to>
                    <xdr:col>5</xdr:col>
                    <xdr:colOff>0</xdr:colOff>
                    <xdr:row>481</xdr:row>
                    <xdr:rowOff>47625</xdr:rowOff>
                  </to>
                </anchor>
              </controlPr>
            </control>
          </mc:Choice>
        </mc:AlternateContent>
        <mc:AlternateContent xmlns:mc="http://schemas.openxmlformats.org/markup-compatibility/2006">
          <mc:Choice Requires="x14">
            <control shapeId="108993" r:id="rId551" name="Check Box 3521">
              <controlPr defaultSize="0" autoFill="0" autoLine="0" autoPict="0">
                <anchor>
                  <from>
                    <xdr:col>0</xdr:col>
                    <xdr:colOff>0</xdr:colOff>
                    <xdr:row>481</xdr:row>
                    <xdr:rowOff>0</xdr:rowOff>
                  </from>
                  <to>
                    <xdr:col>5</xdr:col>
                    <xdr:colOff>0</xdr:colOff>
                    <xdr:row>482</xdr:row>
                    <xdr:rowOff>47625</xdr:rowOff>
                  </to>
                </anchor>
              </controlPr>
            </control>
          </mc:Choice>
        </mc:AlternateContent>
        <mc:AlternateContent xmlns:mc="http://schemas.openxmlformats.org/markup-compatibility/2006">
          <mc:Choice Requires="x14">
            <control shapeId="108994" r:id="rId552" name="Check Box 3522">
              <controlPr defaultSize="0" autoFill="0" autoLine="0" autoPict="0">
                <anchor>
                  <from>
                    <xdr:col>0</xdr:col>
                    <xdr:colOff>0</xdr:colOff>
                    <xdr:row>482</xdr:row>
                    <xdr:rowOff>0</xdr:rowOff>
                  </from>
                  <to>
                    <xdr:col>5</xdr:col>
                    <xdr:colOff>0</xdr:colOff>
                    <xdr:row>483</xdr:row>
                    <xdr:rowOff>47625</xdr:rowOff>
                  </to>
                </anchor>
              </controlPr>
            </control>
          </mc:Choice>
        </mc:AlternateContent>
        <mc:AlternateContent xmlns:mc="http://schemas.openxmlformats.org/markup-compatibility/2006">
          <mc:Choice Requires="x14">
            <control shapeId="108995" r:id="rId553" name="Check Box 3523">
              <controlPr defaultSize="0" autoFill="0" autoLine="0" autoPict="0">
                <anchor>
                  <from>
                    <xdr:col>0</xdr:col>
                    <xdr:colOff>0</xdr:colOff>
                    <xdr:row>483</xdr:row>
                    <xdr:rowOff>0</xdr:rowOff>
                  </from>
                  <to>
                    <xdr:col>5</xdr:col>
                    <xdr:colOff>0</xdr:colOff>
                    <xdr:row>484</xdr:row>
                    <xdr:rowOff>47625</xdr:rowOff>
                  </to>
                </anchor>
              </controlPr>
            </control>
          </mc:Choice>
        </mc:AlternateContent>
        <mc:AlternateContent xmlns:mc="http://schemas.openxmlformats.org/markup-compatibility/2006">
          <mc:Choice Requires="x14">
            <control shapeId="108996" r:id="rId554" name="Check Box 3524">
              <controlPr defaultSize="0" autoFill="0" autoLine="0" autoPict="0">
                <anchor>
                  <from>
                    <xdr:col>0</xdr:col>
                    <xdr:colOff>0</xdr:colOff>
                    <xdr:row>484</xdr:row>
                    <xdr:rowOff>0</xdr:rowOff>
                  </from>
                  <to>
                    <xdr:col>5</xdr:col>
                    <xdr:colOff>0</xdr:colOff>
                    <xdr:row>485</xdr:row>
                    <xdr:rowOff>47625</xdr:rowOff>
                  </to>
                </anchor>
              </controlPr>
            </control>
          </mc:Choice>
        </mc:AlternateContent>
        <mc:AlternateContent xmlns:mc="http://schemas.openxmlformats.org/markup-compatibility/2006">
          <mc:Choice Requires="x14">
            <control shapeId="108997" r:id="rId555" name="Check Box 3525">
              <controlPr defaultSize="0" autoFill="0" autoLine="0" autoPict="0">
                <anchor>
                  <from>
                    <xdr:col>0</xdr:col>
                    <xdr:colOff>0</xdr:colOff>
                    <xdr:row>485</xdr:row>
                    <xdr:rowOff>0</xdr:rowOff>
                  </from>
                  <to>
                    <xdr:col>5</xdr:col>
                    <xdr:colOff>0</xdr:colOff>
                    <xdr:row>536</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K82"/>
  <sheetViews>
    <sheetView zoomScaleNormal="100" workbookViewId="0">
      <selection sqref="A1:C1"/>
    </sheetView>
  </sheetViews>
  <sheetFormatPr defaultColWidth="9.1328125" defaultRowHeight="14.25" x14ac:dyDescent="0.45"/>
  <cols>
    <col min="1" max="1" width="21.265625" style="2" customWidth="1"/>
    <col min="2" max="2" width="15.265625" style="1" customWidth="1"/>
    <col min="3" max="3" width="101.59765625" style="2" customWidth="1"/>
    <col min="4" max="5" width="9.1328125" style="1" hidden="1" customWidth="1"/>
    <col min="6" max="6" width="15.73046875" style="1" hidden="1" customWidth="1"/>
    <col min="7" max="11" width="9.1328125" style="1" hidden="1" customWidth="1"/>
    <col min="12" max="12" width="9.1328125" style="1" customWidth="1"/>
    <col min="13" max="16384" width="9.1328125" style="1"/>
  </cols>
  <sheetData>
    <row r="1" spans="1:11" ht="18.75" customHeight="1" x14ac:dyDescent="0.55000000000000004">
      <c r="A1" s="194" t="str">
        <f>CONCATENATE(Title, " ", Version)</f>
        <v>COMSCC 2025 v13.2</v>
      </c>
      <c r="B1" s="194"/>
      <c r="C1" s="194"/>
      <c r="D1" s="35"/>
      <c r="E1" s="35"/>
      <c r="F1" s="35"/>
    </row>
    <row r="3" spans="1:11" x14ac:dyDescent="0.45">
      <c r="A3" s="101" t="s">
        <v>100</v>
      </c>
    </row>
    <row r="5" spans="1:11" x14ac:dyDescent="0.45">
      <c r="A5" s="24" t="s">
        <v>52</v>
      </c>
      <c r="C5" s="1"/>
    </row>
    <row r="6" spans="1:11" x14ac:dyDescent="0.45">
      <c r="A6" s="3" t="s">
        <v>446</v>
      </c>
      <c r="C6" s="1"/>
    </row>
    <row r="7" spans="1:11" x14ac:dyDescent="0.45">
      <c r="A7" s="21"/>
    </row>
    <row r="8" spans="1:11" x14ac:dyDescent="0.45">
      <c r="A8" s="19" t="s">
        <v>633</v>
      </c>
      <c r="B8" s="11" t="s">
        <v>0</v>
      </c>
      <c r="C8" s="19" t="s">
        <v>1</v>
      </c>
      <c r="D8" s="43"/>
      <c r="E8" s="43"/>
      <c r="G8" s="1" t="b">
        <f>IF(H8&gt;0, TRUE, FALSE)</f>
        <v>0</v>
      </c>
      <c r="H8" s="1">
        <f>COUNTIF(H9:H58, TRUE)</f>
        <v>0</v>
      </c>
      <c r="J8" s="1">
        <f>COUNTIF(J9:J58,"Dyno")</f>
        <v>0</v>
      </c>
    </row>
    <row r="9" spans="1:11" x14ac:dyDescent="0.45">
      <c r="A9" s="42"/>
      <c r="B9" s="6">
        <v>1</v>
      </c>
      <c r="C9" s="17" t="s">
        <v>330</v>
      </c>
      <c r="D9" s="43" t="b">
        <v>0</v>
      </c>
      <c r="E9" s="43" t="b">
        <v>0</v>
      </c>
      <c r="F9" s="1">
        <f>IF(D9, B9, 0)</f>
        <v>0</v>
      </c>
      <c r="G9" s="2">
        <f>COUNTIF(D9:D12, TRUE)</f>
        <v>0</v>
      </c>
      <c r="H9" s="1" t="b">
        <f>G9&gt;1</f>
        <v>0</v>
      </c>
      <c r="I9" s="1" t="b">
        <f>AND(D9, $H$9)</f>
        <v>0</v>
      </c>
      <c r="K9" s="1" t="b">
        <f>INDEX(Public_Engine_Mods,1,6)&gt;0</f>
        <v>0</v>
      </c>
    </row>
    <row r="10" spans="1:11" x14ac:dyDescent="0.45">
      <c r="A10" s="42"/>
      <c r="B10" s="6">
        <v>2</v>
      </c>
      <c r="C10" s="17" t="s">
        <v>331</v>
      </c>
      <c r="D10" s="43" t="b">
        <v>0</v>
      </c>
      <c r="E10" s="43" t="b">
        <v>0</v>
      </c>
      <c r="F10" s="1">
        <f t="shared" ref="F10:F58" si="0">IF(D10, B10, 0)</f>
        <v>0</v>
      </c>
      <c r="G10" s="2">
        <f>COUNTIF(D9:D12, TRUE)</f>
        <v>0</v>
      </c>
      <c r="I10" s="1" t="b">
        <f>AND(D10, $H$9)</f>
        <v>0</v>
      </c>
      <c r="K10" s="1" t="b">
        <f>INDEX(Public_Engine_Mods,2,6)&gt;0</f>
        <v>0</v>
      </c>
    </row>
    <row r="11" spans="1:11" ht="28.5" x14ac:dyDescent="0.45">
      <c r="A11" s="42"/>
      <c r="B11" s="6">
        <v>3</v>
      </c>
      <c r="C11" s="17" t="s">
        <v>585</v>
      </c>
      <c r="D11" s="43" t="b">
        <v>0</v>
      </c>
      <c r="E11" s="43" t="b">
        <v>0</v>
      </c>
      <c r="F11" s="1">
        <f t="shared" si="0"/>
        <v>0</v>
      </c>
      <c r="G11" s="2">
        <f>COUNTIF(D9:D12, TRUE)</f>
        <v>0</v>
      </c>
      <c r="I11" s="1" t="b">
        <f>AND(D11, $H$9)</f>
        <v>0</v>
      </c>
    </row>
    <row r="12" spans="1:11" ht="28.5" x14ac:dyDescent="0.45">
      <c r="A12" s="42"/>
      <c r="B12" s="6">
        <v>4</v>
      </c>
      <c r="C12" s="17" t="s">
        <v>586</v>
      </c>
      <c r="D12" s="43" t="b">
        <v>0</v>
      </c>
      <c r="E12" s="43" t="b">
        <v>0</v>
      </c>
      <c r="F12" s="1">
        <f t="shared" si="0"/>
        <v>0</v>
      </c>
      <c r="G12" s="2">
        <f>COUNTIF(D9:D12, TRUE)</f>
        <v>0</v>
      </c>
      <c r="I12" s="1" t="b">
        <f>AND(D12, $H$9)</f>
        <v>0</v>
      </c>
    </row>
    <row r="13" spans="1:11" x14ac:dyDescent="0.45">
      <c r="A13" s="42"/>
      <c r="B13" s="6">
        <v>2</v>
      </c>
      <c r="C13" s="17" t="s">
        <v>587</v>
      </c>
      <c r="D13" s="43" t="b">
        <v>0</v>
      </c>
      <c r="E13" s="43" t="b">
        <v>0</v>
      </c>
      <c r="F13" s="1">
        <f t="shared" si="0"/>
        <v>0</v>
      </c>
      <c r="G13" s="2">
        <f>COUNTIF(D13:D14, TRUE)</f>
        <v>0</v>
      </c>
      <c r="H13" s="1" t="b">
        <f>G13&gt;1</f>
        <v>0</v>
      </c>
      <c r="I13" s="1" t="b">
        <f>AND(D13, $H$13)</f>
        <v>0</v>
      </c>
    </row>
    <row r="14" spans="1:11" x14ac:dyDescent="0.45">
      <c r="A14" s="42"/>
      <c r="B14" s="6">
        <v>4</v>
      </c>
      <c r="C14" s="17" t="s">
        <v>588</v>
      </c>
      <c r="D14" s="43" t="b">
        <v>0</v>
      </c>
      <c r="E14" s="43" t="b">
        <v>0</v>
      </c>
      <c r="F14" s="1">
        <f t="shared" si="0"/>
        <v>0</v>
      </c>
      <c r="G14" s="2">
        <f>COUNTIF(D13:D14, TRUE)</f>
        <v>0</v>
      </c>
      <c r="I14" s="1" t="b">
        <f>AND(D14, $H$13)</f>
        <v>0</v>
      </c>
    </row>
    <row r="15" spans="1:11" x14ac:dyDescent="0.45">
      <c r="A15" s="42"/>
      <c r="B15" s="6">
        <v>1</v>
      </c>
      <c r="C15" s="17" t="s">
        <v>3</v>
      </c>
      <c r="D15" s="43" t="b">
        <v>0</v>
      </c>
      <c r="E15" s="43" t="b">
        <v>0</v>
      </c>
      <c r="F15" s="1">
        <f t="shared" si="0"/>
        <v>0</v>
      </c>
      <c r="G15" s="2">
        <f>COUNTIF(D15:D16, TRUE)</f>
        <v>0</v>
      </c>
      <c r="H15" s="1" t="b">
        <f>G15&gt;1</f>
        <v>0</v>
      </c>
      <c r="I15" s="1" t="b">
        <f>AND(D15, $H$15)</f>
        <v>0</v>
      </c>
    </row>
    <row r="16" spans="1:11" ht="28.5" x14ac:dyDescent="0.45">
      <c r="A16" s="42"/>
      <c r="B16" s="50">
        <v>1</v>
      </c>
      <c r="C16" s="17" t="s">
        <v>597</v>
      </c>
      <c r="D16" s="43" t="b">
        <v>0</v>
      </c>
      <c r="E16" s="43" t="b">
        <v>0</v>
      </c>
      <c r="F16" s="1">
        <f t="shared" si="0"/>
        <v>0</v>
      </c>
      <c r="G16" s="2">
        <f>COUNTIF(D15:D16, TRUE)</f>
        <v>0</v>
      </c>
      <c r="I16" s="1" t="b">
        <f>AND(D16, $H$15)</f>
        <v>0</v>
      </c>
    </row>
    <row r="17" spans="1:10" x14ac:dyDescent="0.45">
      <c r="A17" s="42"/>
      <c r="B17" s="6">
        <v>1</v>
      </c>
      <c r="C17" s="17" t="s">
        <v>4</v>
      </c>
      <c r="D17" s="43" t="b">
        <f t="shared" ref="D13:D57" si="1">OR(E17,A17)</f>
        <v>0</v>
      </c>
      <c r="E17" s="43" t="b">
        <v>0</v>
      </c>
      <c r="F17" s="1">
        <f t="shared" si="0"/>
        <v>0</v>
      </c>
      <c r="G17" s="2"/>
      <c r="I17" s="1" t="b">
        <v>0</v>
      </c>
    </row>
    <row r="18" spans="1:10" x14ac:dyDescent="0.45">
      <c r="A18" s="42"/>
      <c r="B18" s="6">
        <v>1</v>
      </c>
      <c r="C18" s="17" t="s">
        <v>538</v>
      </c>
      <c r="D18" s="43" t="b">
        <f t="shared" si="1"/>
        <v>0</v>
      </c>
      <c r="E18" s="43" t="b">
        <v>0</v>
      </c>
      <c r="F18" s="1">
        <f t="shared" si="0"/>
        <v>0</v>
      </c>
      <c r="G18" s="2"/>
      <c r="I18" s="1" t="b">
        <v>0</v>
      </c>
    </row>
    <row r="19" spans="1:10" x14ac:dyDescent="0.45">
      <c r="A19" s="42"/>
      <c r="B19" s="6">
        <v>1</v>
      </c>
      <c r="C19" s="17" t="s">
        <v>535</v>
      </c>
      <c r="D19" s="43" t="b">
        <v>0</v>
      </c>
      <c r="E19" s="43" t="b">
        <v>0</v>
      </c>
      <c r="F19" s="1">
        <f t="shared" si="0"/>
        <v>0</v>
      </c>
      <c r="G19" s="2">
        <f>COUNTIF(D19:D20, TRUE)</f>
        <v>0</v>
      </c>
      <c r="H19" s="1" t="b">
        <f>G19&gt;1</f>
        <v>0</v>
      </c>
      <c r="I19" s="1" t="b">
        <f>AND(D19, $H$19)</f>
        <v>0</v>
      </c>
    </row>
    <row r="20" spans="1:10" x14ac:dyDescent="0.45">
      <c r="A20" s="42"/>
      <c r="B20" s="6">
        <v>2</v>
      </c>
      <c r="C20" s="17" t="s">
        <v>536</v>
      </c>
      <c r="D20" s="43" t="b">
        <v>0</v>
      </c>
      <c r="E20" s="43" t="b">
        <v>0</v>
      </c>
      <c r="F20" s="1">
        <f t="shared" si="0"/>
        <v>0</v>
      </c>
      <c r="G20" s="2">
        <f>COUNTIF(D19:D20, TRUE)</f>
        <v>0</v>
      </c>
      <c r="I20" s="1" t="b">
        <f>AND(D20, $H$19)</f>
        <v>0</v>
      </c>
    </row>
    <row r="21" spans="1:10" x14ac:dyDescent="0.45">
      <c r="A21" s="42"/>
      <c r="B21" s="6">
        <v>3</v>
      </c>
      <c r="C21" s="17" t="s">
        <v>257</v>
      </c>
      <c r="D21" s="43" t="b">
        <f t="shared" si="1"/>
        <v>0</v>
      </c>
      <c r="E21" s="43" t="b">
        <v>0</v>
      </c>
      <c r="F21" s="1">
        <f t="shared" si="0"/>
        <v>0</v>
      </c>
      <c r="G21" s="2"/>
      <c r="I21" s="1" t="b">
        <v>0</v>
      </c>
    </row>
    <row r="22" spans="1:10" x14ac:dyDescent="0.45">
      <c r="A22" s="42"/>
      <c r="B22" s="6" t="s">
        <v>598</v>
      </c>
      <c r="C22" s="17" t="s">
        <v>599</v>
      </c>
      <c r="D22" s="43" t="b">
        <v>0</v>
      </c>
      <c r="E22" s="43" t="b">
        <v>0</v>
      </c>
      <c r="F22" s="1">
        <f t="shared" si="0"/>
        <v>0</v>
      </c>
      <c r="G22" s="2"/>
      <c r="H22" s="1" t="b">
        <f>G22&gt;1</f>
        <v>0</v>
      </c>
      <c r="I22" s="1" t="b">
        <v>0</v>
      </c>
      <c r="J22" s="1">
        <f>F22</f>
        <v>0</v>
      </c>
    </row>
    <row r="23" spans="1:10" x14ac:dyDescent="0.45">
      <c r="A23" s="42"/>
      <c r="B23" s="6">
        <v>3</v>
      </c>
      <c r="C23" s="17" t="s">
        <v>5</v>
      </c>
      <c r="D23" s="43" t="b">
        <v>0</v>
      </c>
      <c r="E23" s="43" t="b">
        <v>0</v>
      </c>
      <c r="F23" s="1">
        <f t="shared" si="0"/>
        <v>0</v>
      </c>
      <c r="G23" s="2"/>
      <c r="I23" s="1" t="b">
        <v>0</v>
      </c>
    </row>
    <row r="24" spans="1:10" x14ac:dyDescent="0.45">
      <c r="A24" s="42"/>
      <c r="B24" s="6">
        <v>3</v>
      </c>
      <c r="C24" s="17" t="s">
        <v>6</v>
      </c>
      <c r="D24" s="43" t="b">
        <v>0</v>
      </c>
      <c r="E24" s="43" t="b">
        <v>0</v>
      </c>
      <c r="F24" s="1">
        <f t="shared" si="0"/>
        <v>0</v>
      </c>
      <c r="G24" s="2"/>
      <c r="I24" s="1" t="b">
        <v>0</v>
      </c>
    </row>
    <row r="25" spans="1:10" x14ac:dyDescent="0.45">
      <c r="A25" s="42"/>
      <c r="B25" s="6">
        <v>1</v>
      </c>
      <c r="C25" s="17" t="s">
        <v>7</v>
      </c>
      <c r="D25" s="43" t="b">
        <v>0</v>
      </c>
      <c r="E25" s="43" t="b">
        <v>0</v>
      </c>
      <c r="F25" s="1">
        <f t="shared" si="0"/>
        <v>0</v>
      </c>
      <c r="G25" s="2"/>
      <c r="I25" s="1" t="b">
        <v>0</v>
      </c>
    </row>
    <row r="26" spans="1:10" x14ac:dyDescent="0.45">
      <c r="A26" s="42"/>
      <c r="B26" s="6">
        <v>2</v>
      </c>
      <c r="C26" s="17" t="s">
        <v>8</v>
      </c>
      <c r="D26" s="43" t="b">
        <v>0</v>
      </c>
      <c r="E26" s="43" t="b">
        <v>0</v>
      </c>
      <c r="F26" s="1">
        <f t="shared" si="0"/>
        <v>0</v>
      </c>
      <c r="G26" s="2">
        <f>COUNTIF(D26:D27, TRUE)</f>
        <v>0</v>
      </c>
      <c r="I26" s="1" t="b">
        <v>0</v>
      </c>
    </row>
    <row r="27" spans="1:10" x14ac:dyDescent="0.45">
      <c r="A27" s="42"/>
      <c r="B27" s="6">
        <v>1</v>
      </c>
      <c r="C27" s="17" t="s">
        <v>9</v>
      </c>
      <c r="D27" s="43" t="b">
        <f t="shared" si="1"/>
        <v>0</v>
      </c>
      <c r="E27" s="43" t="b">
        <v>0</v>
      </c>
      <c r="F27" s="1">
        <f t="shared" si="0"/>
        <v>0</v>
      </c>
      <c r="G27" s="2">
        <f>COUNTIF(D26:D27, TRUE)</f>
        <v>0</v>
      </c>
      <c r="I27" s="1" t="b">
        <v>0</v>
      </c>
    </row>
    <row r="28" spans="1:10" x14ac:dyDescent="0.45">
      <c r="A28" s="42"/>
      <c r="B28" s="6" t="s">
        <v>598</v>
      </c>
      <c r="C28" s="17" t="s">
        <v>589</v>
      </c>
      <c r="D28" s="43" t="b">
        <f t="shared" si="1"/>
        <v>0</v>
      </c>
      <c r="E28" s="43" t="b">
        <v>0</v>
      </c>
      <c r="F28" s="1">
        <f t="shared" si="0"/>
        <v>0</v>
      </c>
      <c r="G28" s="2">
        <f t="shared" ref="G28:G32" si="2">COUNTIF(D28:D31, TRUE)</f>
        <v>0</v>
      </c>
      <c r="H28" s="1" t="b">
        <f>G28&gt;1</f>
        <v>0</v>
      </c>
      <c r="I28" s="1" t="b">
        <v>0</v>
      </c>
      <c r="J28" s="1">
        <f>F28</f>
        <v>0</v>
      </c>
    </row>
    <row r="29" spans="1:10" x14ac:dyDescent="0.45">
      <c r="A29" s="42"/>
      <c r="B29" s="6" t="s">
        <v>598</v>
      </c>
      <c r="C29" s="17" t="s">
        <v>601</v>
      </c>
      <c r="D29" s="43" t="b">
        <f t="shared" si="1"/>
        <v>0</v>
      </c>
      <c r="E29" s="43" t="b">
        <v>0</v>
      </c>
      <c r="F29" s="1">
        <f t="shared" si="0"/>
        <v>0</v>
      </c>
      <c r="G29" s="2">
        <f t="shared" si="2"/>
        <v>0</v>
      </c>
      <c r="I29" s="1" t="b">
        <v>0</v>
      </c>
      <c r="J29" s="1">
        <f>F29</f>
        <v>0</v>
      </c>
    </row>
    <row r="30" spans="1:10" x14ac:dyDescent="0.45">
      <c r="A30" s="42"/>
      <c r="B30" s="6" t="s">
        <v>598</v>
      </c>
      <c r="C30" s="17" t="s">
        <v>258</v>
      </c>
      <c r="D30" s="43" t="b">
        <v>0</v>
      </c>
      <c r="E30" s="43" t="b">
        <v>0</v>
      </c>
      <c r="F30" s="1">
        <f t="shared" si="0"/>
        <v>0</v>
      </c>
      <c r="G30" s="2">
        <f t="shared" si="2"/>
        <v>0</v>
      </c>
      <c r="I30" s="1" t="b">
        <v>0</v>
      </c>
      <c r="J30" s="1">
        <f>F30</f>
        <v>0</v>
      </c>
    </row>
    <row r="31" spans="1:10" x14ac:dyDescent="0.45">
      <c r="A31" s="42"/>
      <c r="B31" s="6" t="s">
        <v>598</v>
      </c>
      <c r="C31" s="17" t="s">
        <v>600</v>
      </c>
      <c r="D31" s="43" t="b">
        <v>0</v>
      </c>
      <c r="E31" s="43" t="b">
        <v>0</v>
      </c>
      <c r="F31" s="1">
        <f t="shared" si="0"/>
        <v>0</v>
      </c>
      <c r="G31" s="2">
        <f t="shared" si="2"/>
        <v>0</v>
      </c>
      <c r="I31" s="1" t="b">
        <v>0</v>
      </c>
      <c r="J31" s="1">
        <f>F31</f>
        <v>0</v>
      </c>
    </row>
    <row r="32" spans="1:10" x14ac:dyDescent="0.45">
      <c r="A32" s="42"/>
      <c r="B32" s="6" t="s">
        <v>598</v>
      </c>
      <c r="C32" s="17" t="s">
        <v>590</v>
      </c>
      <c r="D32" s="43" t="b">
        <v>0</v>
      </c>
      <c r="E32" s="43" t="b">
        <v>0</v>
      </c>
      <c r="F32" s="1">
        <f t="shared" si="0"/>
        <v>0</v>
      </c>
      <c r="G32" s="2">
        <f t="shared" si="2"/>
        <v>0</v>
      </c>
      <c r="H32" s="1" t="b">
        <f>G32&gt;1</f>
        <v>0</v>
      </c>
      <c r="I32" s="1" t="b">
        <v>0</v>
      </c>
      <c r="J32" s="1">
        <f>F32</f>
        <v>0</v>
      </c>
    </row>
    <row r="33" spans="1:10" x14ac:dyDescent="0.45">
      <c r="A33" s="143"/>
      <c r="B33" s="6">
        <v>0</v>
      </c>
      <c r="C33" s="17" t="s">
        <v>592</v>
      </c>
      <c r="D33" s="43" t="b">
        <v>0</v>
      </c>
      <c r="E33" s="43" t="b">
        <v>0</v>
      </c>
      <c r="F33" s="1">
        <f t="shared" si="0"/>
        <v>0</v>
      </c>
      <c r="G33" s="2">
        <f>COUNTIF(D33:D34, TRUE)</f>
        <v>0</v>
      </c>
      <c r="H33" s="1" t="b">
        <f>G33&gt;1</f>
        <v>0</v>
      </c>
      <c r="I33" s="1" t="b">
        <f>AND(D33, $H$33)</f>
        <v>0</v>
      </c>
    </row>
    <row r="34" spans="1:10" x14ac:dyDescent="0.45">
      <c r="A34" s="42"/>
      <c r="B34" s="6" t="s">
        <v>598</v>
      </c>
      <c r="C34" s="17" t="s">
        <v>591</v>
      </c>
      <c r="D34" s="43" t="b">
        <v>0</v>
      </c>
      <c r="E34" s="43" t="b">
        <v>0</v>
      </c>
      <c r="F34" s="1">
        <f t="shared" si="0"/>
        <v>0</v>
      </c>
      <c r="G34" s="2">
        <f>COUNTIF(D33:D34, TRUE)</f>
        <v>0</v>
      </c>
      <c r="I34" s="1" t="b">
        <f>AND(D34, $H$33)</f>
        <v>0</v>
      </c>
      <c r="J34" s="1">
        <f>F34</f>
        <v>0</v>
      </c>
    </row>
    <row r="35" spans="1:10" x14ac:dyDescent="0.45">
      <c r="A35" s="42"/>
      <c r="B35" s="6">
        <v>1</v>
      </c>
      <c r="C35" s="17" t="s">
        <v>10</v>
      </c>
      <c r="D35" s="43" t="b">
        <v>0</v>
      </c>
      <c r="E35" s="43" t="b">
        <v>0</v>
      </c>
      <c r="F35" s="1">
        <f t="shared" si="0"/>
        <v>0</v>
      </c>
      <c r="G35" s="2"/>
      <c r="I35" s="1" t="b">
        <v>0</v>
      </c>
    </row>
    <row r="36" spans="1:10" x14ac:dyDescent="0.45">
      <c r="A36" s="42"/>
      <c r="B36" s="6">
        <v>1</v>
      </c>
      <c r="C36" s="17" t="s">
        <v>472</v>
      </c>
      <c r="D36" s="43" t="b">
        <v>0</v>
      </c>
      <c r="E36" s="43" t="b">
        <v>0</v>
      </c>
      <c r="F36" s="1">
        <f t="shared" si="0"/>
        <v>0</v>
      </c>
      <c r="G36" s="2">
        <f>COUNTIF(D36:D37, TRUE)</f>
        <v>0</v>
      </c>
      <c r="H36" s="1" t="b">
        <f>G36&gt;1</f>
        <v>0</v>
      </c>
      <c r="I36" s="1" t="b">
        <f>AND(D36, $H$36)</f>
        <v>0</v>
      </c>
    </row>
    <row r="37" spans="1:10" x14ac:dyDescent="0.45">
      <c r="A37" s="42"/>
      <c r="B37" s="6">
        <v>2</v>
      </c>
      <c r="C37" s="17" t="s">
        <v>471</v>
      </c>
      <c r="D37" s="43" t="b">
        <v>0</v>
      </c>
      <c r="E37" s="43" t="b">
        <v>0</v>
      </c>
      <c r="F37" s="1">
        <f t="shared" si="0"/>
        <v>0</v>
      </c>
      <c r="G37" s="2">
        <f>COUNTIF(D36:D37, TRUE)</f>
        <v>0</v>
      </c>
      <c r="I37" s="1" t="b">
        <f>AND(D37, $H$36)</f>
        <v>0</v>
      </c>
    </row>
    <row r="38" spans="1:10" x14ac:dyDescent="0.45">
      <c r="A38" s="42"/>
      <c r="B38" s="6">
        <v>1</v>
      </c>
      <c r="C38" s="17" t="s">
        <v>473</v>
      </c>
      <c r="D38" s="43" t="b">
        <v>0</v>
      </c>
      <c r="E38" s="43" t="b">
        <v>0</v>
      </c>
      <c r="F38" s="1">
        <f t="shared" si="0"/>
        <v>0</v>
      </c>
      <c r="G38" s="2">
        <f>COUNTIF(D38:D41, TRUE)</f>
        <v>0</v>
      </c>
      <c r="I38" s="1" t="b">
        <v>0</v>
      </c>
    </row>
    <row r="39" spans="1:10" x14ac:dyDescent="0.45">
      <c r="A39" s="42"/>
      <c r="B39" s="6">
        <v>1</v>
      </c>
      <c r="C39" s="17" t="s">
        <v>118</v>
      </c>
      <c r="D39" s="43" t="b">
        <v>0</v>
      </c>
      <c r="E39" s="43" t="b">
        <v>0</v>
      </c>
      <c r="F39" s="1">
        <f t="shared" si="0"/>
        <v>0</v>
      </c>
      <c r="G39" s="2">
        <f>COUNTIF(D39:D40, TRUE)</f>
        <v>0</v>
      </c>
      <c r="H39" s="1" t="b">
        <f>G39&gt;1</f>
        <v>0</v>
      </c>
      <c r="I39" s="1" t="b">
        <f>AND(D39, $H$39)</f>
        <v>0</v>
      </c>
    </row>
    <row r="40" spans="1:10" x14ac:dyDescent="0.45">
      <c r="A40" s="42"/>
      <c r="B40" s="6">
        <v>1</v>
      </c>
      <c r="C40" s="17" t="s">
        <v>351</v>
      </c>
      <c r="D40" s="43" t="b">
        <v>0</v>
      </c>
      <c r="E40" s="43" t="b">
        <v>0</v>
      </c>
      <c r="F40" s="1">
        <f t="shared" si="0"/>
        <v>0</v>
      </c>
      <c r="G40" s="2">
        <f>COUNTIF(D39:D40, TRUE)</f>
        <v>0</v>
      </c>
      <c r="I40" s="1" t="b">
        <f>AND(D40, $H$39)</f>
        <v>0</v>
      </c>
    </row>
    <row r="41" spans="1:10" x14ac:dyDescent="0.45">
      <c r="A41" s="42"/>
      <c r="B41" s="6">
        <v>1</v>
      </c>
      <c r="C41" s="17" t="s">
        <v>821</v>
      </c>
      <c r="D41" s="43" t="b">
        <v>0</v>
      </c>
      <c r="E41" s="43" t="b">
        <v>0</v>
      </c>
      <c r="F41" s="1">
        <f t="shared" si="0"/>
        <v>0</v>
      </c>
      <c r="G41" s="2"/>
      <c r="I41" s="1" t="b">
        <v>0</v>
      </c>
    </row>
    <row r="42" spans="1:10" x14ac:dyDescent="0.45">
      <c r="A42" s="42"/>
      <c r="B42" s="6">
        <v>1</v>
      </c>
      <c r="C42" s="6" t="s">
        <v>11</v>
      </c>
      <c r="D42" s="43" t="b">
        <v>0</v>
      </c>
      <c r="E42" s="43" t="b">
        <v>0</v>
      </c>
      <c r="F42" s="1">
        <f t="shared" si="0"/>
        <v>0</v>
      </c>
      <c r="G42" s="2"/>
      <c r="I42" s="1" t="b">
        <v>0</v>
      </c>
    </row>
    <row r="43" spans="1:10" x14ac:dyDescent="0.45">
      <c r="A43" s="42"/>
      <c r="B43" s="6" t="s">
        <v>598</v>
      </c>
      <c r="C43" s="17" t="s">
        <v>332</v>
      </c>
      <c r="D43" s="43" t="b">
        <v>0</v>
      </c>
      <c r="E43" s="43" t="b">
        <v>0</v>
      </c>
      <c r="F43" s="1">
        <f t="shared" si="0"/>
        <v>0</v>
      </c>
      <c r="G43" s="2">
        <f>COUNTIF(D43:D44, TRUE)</f>
        <v>0</v>
      </c>
      <c r="H43" s="1" t="b">
        <f>G43&gt;1</f>
        <v>0</v>
      </c>
      <c r="I43" s="1" t="b">
        <v>0</v>
      </c>
      <c r="J43" s="1">
        <f>F43</f>
        <v>0</v>
      </c>
    </row>
    <row r="44" spans="1:10" x14ac:dyDescent="0.45">
      <c r="A44" s="42"/>
      <c r="B44" s="6" t="s">
        <v>598</v>
      </c>
      <c r="C44" s="17" t="s">
        <v>333</v>
      </c>
      <c r="D44" s="43" t="b">
        <v>0</v>
      </c>
      <c r="E44" s="43" t="b">
        <v>0</v>
      </c>
      <c r="F44" s="1">
        <f t="shared" si="0"/>
        <v>0</v>
      </c>
      <c r="G44" s="2">
        <f>COUNTIF(D43:D44, TRUE)</f>
        <v>0</v>
      </c>
      <c r="I44" s="1" t="b">
        <v>0</v>
      </c>
      <c r="J44" s="1">
        <f>F44</f>
        <v>0</v>
      </c>
    </row>
    <row r="45" spans="1:10" x14ac:dyDescent="0.45">
      <c r="A45" s="42"/>
      <c r="B45" s="6" t="s">
        <v>598</v>
      </c>
      <c r="C45" s="17" t="s">
        <v>334</v>
      </c>
      <c r="D45" s="43" t="b">
        <v>0</v>
      </c>
      <c r="E45" s="43" t="b">
        <v>0</v>
      </c>
      <c r="F45" s="1">
        <f t="shared" si="0"/>
        <v>0</v>
      </c>
      <c r="G45" s="2"/>
      <c r="I45" s="1" t="b">
        <v>0</v>
      </c>
      <c r="J45" s="1">
        <f>F45</f>
        <v>0</v>
      </c>
    </row>
    <row r="46" spans="1:10" x14ac:dyDescent="0.45">
      <c r="A46" s="42"/>
      <c r="B46" s="6" t="s">
        <v>598</v>
      </c>
      <c r="C46" s="17" t="s">
        <v>260</v>
      </c>
      <c r="D46" s="43" t="b">
        <v>0</v>
      </c>
      <c r="E46" s="43" t="b">
        <v>0</v>
      </c>
      <c r="F46" s="1">
        <f t="shared" si="0"/>
        <v>0</v>
      </c>
      <c r="G46" s="2"/>
      <c r="I46" s="1" t="b">
        <v>0</v>
      </c>
      <c r="J46" s="1">
        <f>F46</f>
        <v>0</v>
      </c>
    </row>
    <row r="47" spans="1:10" x14ac:dyDescent="0.45">
      <c r="A47" s="42"/>
      <c r="B47" s="6" t="s">
        <v>598</v>
      </c>
      <c r="C47" s="139" t="s">
        <v>822</v>
      </c>
      <c r="D47" s="43" t="b">
        <v>0</v>
      </c>
      <c r="E47" s="43" t="b">
        <v>0</v>
      </c>
      <c r="F47" s="1">
        <f t="shared" si="0"/>
        <v>0</v>
      </c>
      <c r="G47" s="2"/>
      <c r="I47" s="1" t="b">
        <v>0</v>
      </c>
      <c r="J47" s="1">
        <f>F47</f>
        <v>0</v>
      </c>
    </row>
    <row r="48" spans="1:10" x14ac:dyDescent="0.45">
      <c r="A48" s="143"/>
      <c r="B48" s="50">
        <v>0</v>
      </c>
      <c r="C48" s="17" t="s">
        <v>12</v>
      </c>
      <c r="D48" s="43" t="b">
        <v>0</v>
      </c>
      <c r="E48" s="43" t="b">
        <v>0</v>
      </c>
      <c r="F48" s="1">
        <f t="shared" si="0"/>
        <v>0</v>
      </c>
      <c r="G48" s="2"/>
    </row>
    <row r="49" spans="1:7" x14ac:dyDescent="0.45">
      <c r="A49" s="143"/>
      <c r="B49" s="50">
        <v>0</v>
      </c>
      <c r="C49" s="17" t="s">
        <v>259</v>
      </c>
      <c r="D49" s="43" t="b">
        <f t="shared" si="1"/>
        <v>0</v>
      </c>
      <c r="E49" s="43" t="b">
        <v>0</v>
      </c>
      <c r="F49" s="1">
        <f t="shared" si="0"/>
        <v>0</v>
      </c>
      <c r="G49" s="2"/>
    </row>
    <row r="50" spans="1:7" x14ac:dyDescent="0.45">
      <c r="A50" s="143"/>
      <c r="B50" s="50">
        <v>0</v>
      </c>
      <c r="C50" s="17" t="s">
        <v>13</v>
      </c>
      <c r="D50" s="43" t="b">
        <f t="shared" si="1"/>
        <v>0</v>
      </c>
      <c r="E50" s="43" t="b">
        <v>0</v>
      </c>
      <c r="F50" s="1">
        <f t="shared" si="0"/>
        <v>0</v>
      </c>
      <c r="G50" s="2"/>
    </row>
    <row r="51" spans="1:7" x14ac:dyDescent="0.45">
      <c r="A51" s="143"/>
      <c r="B51" s="50">
        <v>0</v>
      </c>
      <c r="C51" s="17" t="s">
        <v>14</v>
      </c>
      <c r="D51" s="43" t="b">
        <v>0</v>
      </c>
      <c r="E51" s="43" t="b">
        <v>0</v>
      </c>
      <c r="F51" s="1">
        <f t="shared" si="0"/>
        <v>0</v>
      </c>
      <c r="G51" s="2"/>
    </row>
    <row r="52" spans="1:7" x14ac:dyDescent="0.45">
      <c r="A52" s="143"/>
      <c r="B52" s="50">
        <v>0</v>
      </c>
      <c r="C52" s="17" t="s">
        <v>15</v>
      </c>
      <c r="D52" s="43" t="b">
        <f t="shared" si="1"/>
        <v>0</v>
      </c>
      <c r="E52" s="43" t="b">
        <v>0</v>
      </c>
      <c r="F52" s="1">
        <f t="shared" si="0"/>
        <v>0</v>
      </c>
      <c r="G52" s="2"/>
    </row>
    <row r="53" spans="1:7" x14ac:dyDescent="0.45">
      <c r="A53" s="143"/>
      <c r="B53" s="50">
        <v>0</v>
      </c>
      <c r="C53" s="17" t="s">
        <v>16</v>
      </c>
      <c r="D53" s="43" t="b">
        <v>0</v>
      </c>
      <c r="E53" s="43" t="b">
        <v>0</v>
      </c>
      <c r="F53" s="1">
        <f t="shared" si="0"/>
        <v>0</v>
      </c>
      <c r="G53" s="2"/>
    </row>
    <row r="54" spans="1:7" x14ac:dyDescent="0.45">
      <c r="A54" s="143"/>
      <c r="B54" s="50">
        <v>0</v>
      </c>
      <c r="C54" s="17" t="s">
        <v>17</v>
      </c>
      <c r="D54" s="43" t="b">
        <f t="shared" si="1"/>
        <v>0</v>
      </c>
      <c r="E54" s="43" t="b">
        <v>0</v>
      </c>
      <c r="F54" s="1">
        <f t="shared" si="0"/>
        <v>0</v>
      </c>
      <c r="G54" s="2"/>
    </row>
    <row r="55" spans="1:7" x14ac:dyDescent="0.45">
      <c r="A55" s="143"/>
      <c r="B55" s="50">
        <v>0</v>
      </c>
      <c r="C55" s="17" t="s">
        <v>18</v>
      </c>
      <c r="D55" s="43" t="b">
        <v>0</v>
      </c>
      <c r="E55" s="43" t="b">
        <v>0</v>
      </c>
      <c r="F55" s="1">
        <f t="shared" si="0"/>
        <v>0</v>
      </c>
      <c r="G55" s="2"/>
    </row>
    <row r="56" spans="1:7" ht="28.5" x14ac:dyDescent="0.45">
      <c r="A56" s="143"/>
      <c r="B56" s="50">
        <v>0</v>
      </c>
      <c r="C56" s="17" t="s">
        <v>539</v>
      </c>
      <c r="D56" s="43" t="b">
        <f t="shared" si="1"/>
        <v>0</v>
      </c>
      <c r="E56" s="43" t="b">
        <v>0</v>
      </c>
      <c r="F56" s="1">
        <f t="shared" si="0"/>
        <v>0</v>
      </c>
      <c r="G56" s="2"/>
    </row>
    <row r="57" spans="1:7" x14ac:dyDescent="0.45">
      <c r="A57" s="143"/>
      <c r="B57" s="50">
        <v>0</v>
      </c>
      <c r="C57" s="1" t="s">
        <v>593</v>
      </c>
      <c r="D57" s="43" t="b">
        <f t="shared" si="1"/>
        <v>0</v>
      </c>
      <c r="E57" s="43" t="b">
        <v>0</v>
      </c>
      <c r="F57" s="1">
        <f t="shared" si="0"/>
        <v>0</v>
      </c>
      <c r="G57" s="2"/>
    </row>
    <row r="58" spans="1:7" x14ac:dyDescent="0.45">
      <c r="A58" s="143"/>
      <c r="B58" s="50">
        <v>0</v>
      </c>
      <c r="C58" s="17" t="s">
        <v>19</v>
      </c>
      <c r="D58" s="43" t="b">
        <v>0</v>
      </c>
      <c r="E58" s="43" t="b">
        <v>0</v>
      </c>
      <c r="F58" s="1">
        <f t="shared" si="0"/>
        <v>0</v>
      </c>
      <c r="G58" s="2"/>
    </row>
    <row r="59" spans="1:7" x14ac:dyDescent="0.45">
      <c r="A59" s="18" t="s">
        <v>20</v>
      </c>
      <c r="B59" s="9">
        <f>IF(G8, "Select Error", IF(J8&gt;0,"Dyno Required",SUM(F9:F58)))</f>
        <v>0</v>
      </c>
      <c r="C59" s="18"/>
      <c r="G59" s="2"/>
    </row>
    <row r="60" spans="1:7" x14ac:dyDescent="0.45">
      <c r="A60" s="3" t="s">
        <v>323</v>
      </c>
      <c r="C60" s="1"/>
      <c r="G60" s="2"/>
    </row>
    <row r="63" spans="1:7" x14ac:dyDescent="0.45">
      <c r="A63" s="48" t="s">
        <v>357</v>
      </c>
    </row>
    <row r="64" spans="1:7" x14ac:dyDescent="0.45">
      <c r="A64" s="3" t="s">
        <v>699</v>
      </c>
    </row>
    <row r="65" spans="1:8" x14ac:dyDescent="0.45">
      <c r="A65" s="20"/>
      <c r="B65" s="10"/>
      <c r="C65" s="20" t="s">
        <v>1</v>
      </c>
      <c r="F65" s="1" t="e">
        <f>VLOOKUP("Dynapack",dyno_names, 1,FALSE)</f>
        <v>#N/A</v>
      </c>
    </row>
    <row r="66" spans="1:8" ht="15" customHeight="1" x14ac:dyDescent="0.45">
      <c r="A66" s="20" t="s">
        <v>450</v>
      </c>
      <c r="B66" s="47"/>
      <c r="C66" s="195" t="s">
        <v>683</v>
      </c>
    </row>
    <row r="67" spans="1:8" ht="15" customHeight="1" x14ac:dyDescent="0.45">
      <c r="A67" s="20" t="s">
        <v>451</v>
      </c>
      <c r="B67" s="47"/>
      <c r="C67" s="196"/>
      <c r="D67" s="1">
        <f>IF(B68="Crank", 1, IF(B68="Wheel", 1/(1-F74),0))</f>
        <v>0</v>
      </c>
    </row>
    <row r="68" spans="1:8" ht="15" customHeight="1" x14ac:dyDescent="0.45">
      <c r="A68" s="20" t="s">
        <v>452</v>
      </c>
      <c r="B68" s="59" t="s">
        <v>823</v>
      </c>
      <c r="C68" s="17" t="s">
        <v>684</v>
      </c>
    </row>
    <row r="69" spans="1:8" ht="15" customHeight="1" x14ac:dyDescent="0.45">
      <c r="A69" s="17" t="s">
        <v>353</v>
      </c>
      <c r="B69" s="54"/>
      <c r="C69" s="17" t="s">
        <v>453</v>
      </c>
      <c r="F69" s="1" t="s">
        <v>486</v>
      </c>
      <c r="G69" s="1">
        <v>0.13</v>
      </c>
      <c r="H69" s="1">
        <v>0.16</v>
      </c>
    </row>
    <row r="70" spans="1:8" x14ac:dyDescent="0.45">
      <c r="A70" s="17" t="s">
        <v>485</v>
      </c>
      <c r="B70" s="33" t="s">
        <v>602</v>
      </c>
      <c r="C70" s="17" t="s">
        <v>631</v>
      </c>
      <c r="D70" s="1">
        <f>IF(B69="AWD",H71,H70)</f>
        <v>0</v>
      </c>
    </row>
    <row r="71" spans="1:8" x14ac:dyDescent="0.45">
      <c r="A71" s="52" t="str">
        <f>IF(AND(ISNUMBER(B66),ISNUMBER(B67)), (B66*(2/3)*D67)+(B67*(1/3)*D67), "")</f>
        <v/>
      </c>
      <c r="B71" s="53" t="s">
        <v>352</v>
      </c>
      <c r="C71" s="17" t="s">
        <v>355</v>
      </c>
      <c r="D71" s="1">
        <f>IF(B69="AWD",3,2)</f>
        <v>2</v>
      </c>
    </row>
    <row r="72" spans="1:8" x14ac:dyDescent="0.45">
      <c r="A72" s="52" t="str">
        <f>IF($D72&lt;-2, -2, $D72)</f>
        <v/>
      </c>
      <c r="B72" s="53" t="s">
        <v>356</v>
      </c>
      <c r="C72" s="17" t="s">
        <v>354</v>
      </c>
      <c r="D72" s="1" t="str">
        <f>IF(ISNUMBER(A71), ((Car_Base_Weight/A71)*-4.25+112)-Car_Scaled_Power, "")</f>
        <v/>
      </c>
    </row>
    <row r="73" spans="1:8" ht="14.65" thickBot="1" x14ac:dyDescent="0.5"/>
    <row r="74" spans="1:8" ht="43.15" thickBot="1" x14ac:dyDescent="0.5">
      <c r="A74" s="23" t="s">
        <v>54</v>
      </c>
      <c r="B74" s="123">
        <f>IF(J8&gt;0,IF(ISNUMBER(Dyno_Points),Dyno_Points,"Dyno missing"),IF(ISNUMBER(Scrutineer_Engine_Points),Scrutineer_Engine_Points,EngineModsTotal))</f>
        <v>0</v>
      </c>
      <c r="C74" s="122" t="str">
        <f>IF(J8&gt;0,IF(ISNUMBER(A72),"Using Dyno Points","Dyno Required"),IF(ISNUMBER(Scrutineer_Engine_Points),"Using Dyno Points","Using Engine Points Total"))</f>
        <v>Using Engine Points Total</v>
      </c>
      <c r="F74" s="1">
        <f>VLOOKUP(B70,F69:H73,D71,FALSE)</f>
        <v>0.13</v>
      </c>
    </row>
    <row r="76" spans="1:8" ht="28.5" x14ac:dyDescent="0.45">
      <c r="B76" s="101" t="s">
        <v>101</v>
      </c>
    </row>
    <row r="82" spans="2:2" x14ac:dyDescent="0.45">
      <c r="B82" s="1" t="s">
        <v>449</v>
      </c>
    </row>
  </sheetData>
  <sheetProtection algorithmName="SHA-512" hashValue="fA10sqTIGboXau+NURfC59KnzLLvGaaIi8i6HU4nDI27xJ7enXECUaLXIlIOVoCo/6YyBMtPXTWDqJ6CG/Oljg==" saltValue="KXrsd8Va6Pu92E0otf1usA==" spinCount="100000" sheet="1" objects="1" scenarios="1"/>
  <dataConsolidate/>
  <mergeCells count="2">
    <mergeCell ref="A1:C1"/>
    <mergeCell ref="C66:C67"/>
  </mergeCells>
  <conditionalFormatting sqref="A71">
    <cfRule type="expression" dxfId="210" priority="410">
      <formula>IF(ISNUMBER($A$71), TRUE, FALSE)</formula>
    </cfRule>
  </conditionalFormatting>
  <conditionalFormatting sqref="A72">
    <cfRule type="expression" dxfId="209" priority="408">
      <formula>IF(ISNUMBER($A$72), TRUE, FALSE)</formula>
    </cfRule>
  </conditionalFormatting>
  <conditionalFormatting sqref="B59">
    <cfRule type="expression" dxfId="208" priority="1" stopIfTrue="1">
      <formula>($F$8)</formula>
    </cfRule>
  </conditionalFormatting>
  <conditionalFormatting sqref="B66">
    <cfRule type="expression" dxfId="207" priority="351" stopIfTrue="1">
      <formula>IF(ISNUMBER(B66), TRUE, FALSE)</formula>
    </cfRule>
  </conditionalFormatting>
  <conditionalFormatting sqref="B67">
    <cfRule type="expression" dxfId="206" priority="350">
      <formula>IF(ISNUMBER(B67), TRUE, FALSE)</formula>
    </cfRule>
  </conditionalFormatting>
  <conditionalFormatting sqref="B70">
    <cfRule type="expression" dxfId="205" priority="121">
      <formula>IF(ISNUMBER(B70), TRUE, FALSE)</formula>
    </cfRule>
  </conditionalFormatting>
  <conditionalFormatting sqref="B9:C9">
    <cfRule type="expression" dxfId="204" priority="411">
      <formula>$D$9</formula>
    </cfRule>
  </conditionalFormatting>
  <conditionalFormatting sqref="B9:C12">
    <cfRule type="expression" dxfId="203" priority="20" stopIfTrue="1">
      <formula>AND(D9, $F$9&gt;1)</formula>
    </cfRule>
  </conditionalFormatting>
  <conditionalFormatting sqref="B10:C10">
    <cfRule type="expression" dxfId="202" priority="412">
      <formula>$D$10</formula>
    </cfRule>
  </conditionalFormatting>
  <conditionalFormatting sqref="B11:C11">
    <cfRule type="expression" dxfId="201" priority="413">
      <formula>$D$11</formula>
    </cfRule>
  </conditionalFormatting>
  <conditionalFormatting sqref="B12:C12">
    <cfRule type="expression" dxfId="200" priority="414">
      <formula>$D$12</formula>
    </cfRule>
  </conditionalFormatting>
  <conditionalFormatting sqref="B13:C13">
    <cfRule type="expression" dxfId="199" priority="415">
      <formula>$D$13</formula>
    </cfRule>
  </conditionalFormatting>
  <conditionalFormatting sqref="B13:C14">
    <cfRule type="expression" dxfId="198" priority="18" stopIfTrue="1">
      <formula>AND(D13, $F$13&gt;1)</formula>
    </cfRule>
  </conditionalFormatting>
  <conditionalFormatting sqref="B14:C14">
    <cfRule type="expression" dxfId="197" priority="416">
      <formula>$D$14</formula>
    </cfRule>
  </conditionalFormatting>
  <conditionalFormatting sqref="B15:C15">
    <cfRule type="expression" dxfId="196" priority="417">
      <formula>$D$15</formula>
    </cfRule>
  </conditionalFormatting>
  <conditionalFormatting sqref="B15:C16">
    <cfRule type="expression" dxfId="195" priority="16" stopIfTrue="1">
      <formula>AND(D15, $F$15&gt;1)</formula>
    </cfRule>
  </conditionalFormatting>
  <conditionalFormatting sqref="B16:C16">
    <cfRule type="expression" dxfId="194" priority="418">
      <formula>$D$16</formula>
    </cfRule>
  </conditionalFormatting>
  <conditionalFormatting sqref="B17:C17">
    <cfRule type="expression" dxfId="193" priority="419">
      <formula>$D$17</formula>
    </cfRule>
  </conditionalFormatting>
  <conditionalFormatting sqref="B18:C18">
    <cfRule type="expression" dxfId="192" priority="420">
      <formula>$D$18</formula>
    </cfRule>
  </conditionalFormatting>
  <conditionalFormatting sqref="B19:C19">
    <cfRule type="expression" dxfId="191" priority="421">
      <formula>$D$19</formula>
    </cfRule>
  </conditionalFormatting>
  <conditionalFormatting sqref="B19:C20">
    <cfRule type="expression" dxfId="190" priority="14" stopIfTrue="1">
      <formula>AND(D19, $F$19&gt;1)</formula>
    </cfRule>
  </conditionalFormatting>
  <conditionalFormatting sqref="B20:C20">
    <cfRule type="expression" dxfId="189" priority="422">
      <formula>$D$20</formula>
    </cfRule>
  </conditionalFormatting>
  <conditionalFormatting sqref="B21:C21">
    <cfRule type="expression" dxfId="188" priority="423">
      <formula>$D$21</formula>
    </cfRule>
  </conditionalFormatting>
  <conditionalFormatting sqref="B22:C22">
    <cfRule type="expression" dxfId="187" priority="424">
      <formula>$D$22</formula>
    </cfRule>
    <cfRule type="expression" dxfId="186" priority="13" stopIfTrue="1">
      <formula>AND(D22, $F$22&gt;1)</formula>
    </cfRule>
  </conditionalFormatting>
  <conditionalFormatting sqref="B23:C23">
    <cfRule type="expression" dxfId="185" priority="425">
      <formula>$D$23</formula>
    </cfRule>
  </conditionalFormatting>
  <conditionalFormatting sqref="B24:C24">
    <cfRule type="expression" dxfId="184" priority="426">
      <formula>$D$24</formula>
    </cfRule>
  </conditionalFormatting>
  <conditionalFormatting sqref="B25:C25">
    <cfRule type="expression" dxfId="183" priority="427">
      <formula>$D$25</formula>
    </cfRule>
  </conditionalFormatting>
  <conditionalFormatting sqref="B26:C26">
    <cfRule type="expression" dxfId="182" priority="428">
      <formula>$D$26</formula>
    </cfRule>
  </conditionalFormatting>
  <conditionalFormatting sqref="B27:C27">
    <cfRule type="expression" dxfId="181" priority="429">
      <formula>$D$27</formula>
    </cfRule>
  </conditionalFormatting>
  <conditionalFormatting sqref="B28:C28">
    <cfRule type="expression" dxfId="180" priority="12" stopIfTrue="1">
      <formula>AND(D28, $F$28&gt;1)</formula>
    </cfRule>
    <cfRule type="expression" dxfId="179" priority="430">
      <formula>$D$28</formula>
    </cfRule>
  </conditionalFormatting>
  <conditionalFormatting sqref="B29:C29">
    <cfRule type="expression" dxfId="178" priority="431">
      <formula>$D$29</formula>
    </cfRule>
  </conditionalFormatting>
  <conditionalFormatting sqref="B30:C30">
    <cfRule type="expression" dxfId="177" priority="432">
      <formula>$D$30</formula>
    </cfRule>
  </conditionalFormatting>
  <conditionalFormatting sqref="B31:C31">
    <cfRule type="expression" dxfId="176" priority="433">
      <formula>$D$31</formula>
    </cfRule>
  </conditionalFormatting>
  <conditionalFormatting sqref="B32:C32">
    <cfRule type="expression" dxfId="175" priority="9" stopIfTrue="1">
      <formula>AND(D32, $F$32&gt;1)</formula>
    </cfRule>
    <cfRule type="expression" dxfId="174" priority="434">
      <formula>$D$32</formula>
    </cfRule>
  </conditionalFormatting>
  <conditionalFormatting sqref="B33:C33">
    <cfRule type="expression" dxfId="173" priority="435">
      <formula>$D$33</formula>
    </cfRule>
  </conditionalFormatting>
  <conditionalFormatting sqref="B33:C34">
    <cfRule type="expression" dxfId="172" priority="7" stopIfTrue="1">
      <formula>AND(D33, $F$33&gt;1)</formula>
    </cfRule>
  </conditionalFormatting>
  <conditionalFormatting sqref="B34:C34">
    <cfRule type="expression" dxfId="171" priority="436">
      <formula>$D$34</formula>
    </cfRule>
  </conditionalFormatting>
  <conditionalFormatting sqref="B35:C35">
    <cfRule type="expression" dxfId="170" priority="437">
      <formula>$D$35</formula>
    </cfRule>
  </conditionalFormatting>
  <conditionalFormatting sqref="B36:C36">
    <cfRule type="expression" dxfId="169" priority="438">
      <formula>$D$36</formula>
    </cfRule>
  </conditionalFormatting>
  <conditionalFormatting sqref="B36:C37">
    <cfRule type="expression" dxfId="168" priority="10" stopIfTrue="1">
      <formula>AND(D36, $F$36&gt;1)</formula>
    </cfRule>
  </conditionalFormatting>
  <conditionalFormatting sqref="B37:C37">
    <cfRule type="expression" dxfId="167" priority="439">
      <formula>$D$37</formula>
    </cfRule>
  </conditionalFormatting>
  <conditionalFormatting sqref="B38:C38">
    <cfRule type="expression" dxfId="166" priority="440">
      <formula>$D$38</formula>
    </cfRule>
  </conditionalFormatting>
  <conditionalFormatting sqref="B39:C39">
    <cfRule type="expression" dxfId="165" priority="441">
      <formula>$D$39</formula>
    </cfRule>
  </conditionalFormatting>
  <conditionalFormatting sqref="B39:C40">
    <cfRule type="expression" dxfId="164" priority="5" stopIfTrue="1">
      <formula>AND(D39, $F$39&gt;1)</formula>
    </cfRule>
  </conditionalFormatting>
  <conditionalFormatting sqref="B40:C40">
    <cfRule type="expression" dxfId="163" priority="442">
      <formula>$D$40</formula>
    </cfRule>
  </conditionalFormatting>
  <conditionalFormatting sqref="B41:C41">
    <cfRule type="expression" dxfId="162" priority="443">
      <formula>$D$41</formula>
    </cfRule>
  </conditionalFormatting>
  <conditionalFormatting sqref="B42:C42">
    <cfRule type="expression" dxfId="161" priority="444">
      <formula>$D$42</formula>
    </cfRule>
  </conditionalFormatting>
  <conditionalFormatting sqref="B43:C43">
    <cfRule type="expression" dxfId="160" priority="445">
      <formula>$D$43</formula>
    </cfRule>
  </conditionalFormatting>
  <conditionalFormatting sqref="B43:C45">
    <cfRule type="expression" dxfId="159" priority="2" stopIfTrue="1">
      <formula>AND(D43, $F$43&gt;1)</formula>
    </cfRule>
  </conditionalFormatting>
  <conditionalFormatting sqref="B44:C44">
    <cfRule type="expression" dxfId="158" priority="446">
      <formula>$D$44</formula>
    </cfRule>
  </conditionalFormatting>
  <conditionalFormatting sqref="B45:C45">
    <cfRule type="expression" dxfId="157" priority="447">
      <formula>$D$45</formula>
    </cfRule>
  </conditionalFormatting>
  <conditionalFormatting sqref="B46:C46">
    <cfRule type="expression" dxfId="156" priority="448">
      <formula>$D$46</formula>
    </cfRule>
  </conditionalFormatting>
  <conditionalFormatting sqref="B47:C47">
    <cfRule type="expression" dxfId="155" priority="449">
      <formula>$D$47</formula>
    </cfRule>
  </conditionalFormatting>
  <conditionalFormatting sqref="B48:C48">
    <cfRule type="expression" dxfId="154" priority="450">
      <formula>$D$48</formula>
    </cfRule>
  </conditionalFormatting>
  <conditionalFormatting sqref="B49:C49">
    <cfRule type="expression" dxfId="153" priority="451">
      <formula>$D$49</formula>
    </cfRule>
  </conditionalFormatting>
  <conditionalFormatting sqref="B50:C50">
    <cfRule type="expression" dxfId="152" priority="452">
      <formula>$D$50</formula>
    </cfRule>
  </conditionalFormatting>
  <conditionalFormatting sqref="B51:C51">
    <cfRule type="expression" dxfId="151" priority="453">
      <formula>$D$51</formula>
    </cfRule>
  </conditionalFormatting>
  <conditionalFormatting sqref="B52:C52">
    <cfRule type="expression" dxfId="150" priority="454">
      <formula>$D$52</formula>
    </cfRule>
  </conditionalFormatting>
  <conditionalFormatting sqref="B53:C53">
    <cfRule type="expression" dxfId="149" priority="455">
      <formula>$D$53</formula>
    </cfRule>
  </conditionalFormatting>
  <conditionalFormatting sqref="B54:C54">
    <cfRule type="expression" dxfId="148" priority="456">
      <formula>$D$54</formula>
    </cfRule>
  </conditionalFormatting>
  <conditionalFormatting sqref="B55:C55">
    <cfRule type="expression" dxfId="147" priority="457">
      <formula>$D$55</formula>
    </cfRule>
  </conditionalFormatting>
  <conditionalFormatting sqref="B56:C56">
    <cfRule type="expression" dxfId="146" priority="458">
      <formula>$D$56</formula>
    </cfRule>
  </conditionalFormatting>
  <conditionalFormatting sqref="B57:C57">
    <cfRule type="expression" dxfId="145" priority="459">
      <formula>$D$57</formula>
    </cfRule>
  </conditionalFormatting>
  <conditionalFormatting sqref="B58:C58">
    <cfRule type="expression" dxfId="144" priority="460">
      <formula>$D$58</formula>
    </cfRule>
  </conditionalFormatting>
  <dataValidations count="3">
    <dataValidation type="list" allowBlank="1" showInputMessage="1" showErrorMessage="1" sqref="B68" xr:uid="{00000000-0002-0000-0300-000000000000}">
      <formula1>"(Choose),Crank,Wheel"</formula1>
    </dataValidation>
    <dataValidation type="list" allowBlank="1" showInputMessage="1" showErrorMessage="1" sqref="B69" xr:uid="{00000000-0002-0000-0300-000001000000}">
      <formula1>"2WD,AWD"</formula1>
    </dataValidation>
    <dataValidation type="list" allowBlank="1" showInputMessage="1" showErrorMessage="1" sqref="A9:A58" xr:uid="{00000000-0002-0000-0300-000002000000}">
      <formula1>"TRUE,FALSE"</formula1>
    </dataValidation>
  </dataValidations>
  <hyperlinks>
    <hyperlink ref="B76" location="Drivetrain!A1" display="Go to next sheet (Drivetrain" xr:uid="{00000000-0004-0000-0300-000000000000}"/>
    <hyperlink ref="A3" location="Summary!A1" display="Touring Class Summary" xr:uid="{00000000-0004-0000-0300-000001000000}"/>
  </hyperlinks>
  <pageMargins left="0.7" right="0.7" top="0.75" bottom="0.75" header="0.3" footer="0.3"/>
  <pageSetup scale="91" fitToHeight="10" orientation="landscape" r:id="rId1"/>
  <headerFoot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1612" r:id="rId4" name="Check Box 1500">
              <controlPr defaultSize="0" autoFill="0" autoLine="0" autoPict="0">
                <anchor moveWithCells="1">
                  <from>
                    <xdr:col>0</xdr:col>
                    <xdr:colOff>0</xdr:colOff>
                    <xdr:row>8</xdr:row>
                    <xdr:rowOff>0</xdr:rowOff>
                  </from>
                  <to>
                    <xdr:col>3</xdr:col>
                    <xdr:colOff>0</xdr:colOff>
                    <xdr:row>9</xdr:row>
                    <xdr:rowOff>47625</xdr:rowOff>
                  </to>
                </anchor>
              </controlPr>
            </control>
          </mc:Choice>
        </mc:AlternateContent>
        <mc:AlternateContent xmlns:mc="http://schemas.openxmlformats.org/markup-compatibility/2006">
          <mc:Choice Requires="x14">
            <control shapeId="91613" r:id="rId5" name="Check Box 1501">
              <controlPr defaultSize="0" autoFill="0" autoLine="0" autoPict="0">
                <anchor moveWithCells="1">
                  <from>
                    <xdr:col>0</xdr:col>
                    <xdr:colOff>0</xdr:colOff>
                    <xdr:row>9</xdr:row>
                    <xdr:rowOff>0</xdr:rowOff>
                  </from>
                  <to>
                    <xdr:col>3</xdr:col>
                    <xdr:colOff>0</xdr:colOff>
                    <xdr:row>10</xdr:row>
                    <xdr:rowOff>47625</xdr:rowOff>
                  </to>
                </anchor>
              </controlPr>
            </control>
          </mc:Choice>
        </mc:AlternateContent>
        <mc:AlternateContent xmlns:mc="http://schemas.openxmlformats.org/markup-compatibility/2006">
          <mc:Choice Requires="x14">
            <control shapeId="91614" r:id="rId6" name="Check Box 1502">
              <controlPr defaultSize="0" autoFill="0" autoLine="0" autoPict="0">
                <anchor moveWithCells="1">
                  <from>
                    <xdr:col>0</xdr:col>
                    <xdr:colOff>0</xdr:colOff>
                    <xdr:row>10</xdr:row>
                    <xdr:rowOff>0</xdr:rowOff>
                  </from>
                  <to>
                    <xdr:col>3</xdr:col>
                    <xdr:colOff>0</xdr:colOff>
                    <xdr:row>11</xdr:row>
                    <xdr:rowOff>0</xdr:rowOff>
                  </to>
                </anchor>
              </controlPr>
            </control>
          </mc:Choice>
        </mc:AlternateContent>
        <mc:AlternateContent xmlns:mc="http://schemas.openxmlformats.org/markup-compatibility/2006">
          <mc:Choice Requires="x14">
            <control shapeId="91615" r:id="rId7" name="Check Box 1503">
              <controlPr defaultSize="0" autoFill="0" autoLine="0" autoPict="0">
                <anchor moveWithCells="1">
                  <from>
                    <xdr:col>0</xdr:col>
                    <xdr:colOff>0</xdr:colOff>
                    <xdr:row>11</xdr:row>
                    <xdr:rowOff>0</xdr:rowOff>
                  </from>
                  <to>
                    <xdr:col>3</xdr:col>
                    <xdr:colOff>0</xdr:colOff>
                    <xdr:row>12</xdr:row>
                    <xdr:rowOff>0</xdr:rowOff>
                  </to>
                </anchor>
              </controlPr>
            </control>
          </mc:Choice>
        </mc:AlternateContent>
        <mc:AlternateContent xmlns:mc="http://schemas.openxmlformats.org/markup-compatibility/2006">
          <mc:Choice Requires="x14">
            <control shapeId="91616" r:id="rId8" name="Check Box 1504">
              <controlPr defaultSize="0" autoFill="0" autoLine="0" autoPict="0">
                <anchor moveWithCells="1">
                  <from>
                    <xdr:col>0</xdr:col>
                    <xdr:colOff>0</xdr:colOff>
                    <xdr:row>12</xdr:row>
                    <xdr:rowOff>0</xdr:rowOff>
                  </from>
                  <to>
                    <xdr:col>3</xdr:col>
                    <xdr:colOff>0</xdr:colOff>
                    <xdr:row>13</xdr:row>
                    <xdr:rowOff>47625</xdr:rowOff>
                  </to>
                </anchor>
              </controlPr>
            </control>
          </mc:Choice>
        </mc:AlternateContent>
        <mc:AlternateContent xmlns:mc="http://schemas.openxmlformats.org/markup-compatibility/2006">
          <mc:Choice Requires="x14">
            <control shapeId="91617" r:id="rId9" name="Check Box 1505">
              <controlPr defaultSize="0" autoFill="0" autoLine="0" autoPict="0">
                <anchor moveWithCells="1">
                  <from>
                    <xdr:col>0</xdr:col>
                    <xdr:colOff>0</xdr:colOff>
                    <xdr:row>13</xdr:row>
                    <xdr:rowOff>0</xdr:rowOff>
                  </from>
                  <to>
                    <xdr:col>3</xdr:col>
                    <xdr:colOff>0</xdr:colOff>
                    <xdr:row>14</xdr:row>
                    <xdr:rowOff>47625</xdr:rowOff>
                  </to>
                </anchor>
              </controlPr>
            </control>
          </mc:Choice>
        </mc:AlternateContent>
        <mc:AlternateContent xmlns:mc="http://schemas.openxmlformats.org/markup-compatibility/2006">
          <mc:Choice Requires="x14">
            <control shapeId="91618" r:id="rId10" name="Check Box 1506">
              <controlPr defaultSize="0" autoFill="0" autoLine="0" autoPict="0">
                <anchor moveWithCells="1">
                  <from>
                    <xdr:col>0</xdr:col>
                    <xdr:colOff>0</xdr:colOff>
                    <xdr:row>14</xdr:row>
                    <xdr:rowOff>0</xdr:rowOff>
                  </from>
                  <to>
                    <xdr:col>3</xdr:col>
                    <xdr:colOff>0</xdr:colOff>
                    <xdr:row>15</xdr:row>
                    <xdr:rowOff>47625</xdr:rowOff>
                  </to>
                </anchor>
              </controlPr>
            </control>
          </mc:Choice>
        </mc:AlternateContent>
        <mc:AlternateContent xmlns:mc="http://schemas.openxmlformats.org/markup-compatibility/2006">
          <mc:Choice Requires="x14">
            <control shapeId="91619" r:id="rId11" name="Check Box 1507">
              <controlPr defaultSize="0" autoFill="0" autoLine="0" autoPict="0">
                <anchor moveWithCells="1">
                  <from>
                    <xdr:col>0</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91620" r:id="rId12" name="Check Box 1508">
              <controlPr defaultSize="0" autoFill="0" autoLine="0" autoPict="0">
                <anchor moveWithCells="1">
                  <from>
                    <xdr:col>0</xdr:col>
                    <xdr:colOff>0</xdr:colOff>
                    <xdr:row>16</xdr:row>
                    <xdr:rowOff>0</xdr:rowOff>
                  </from>
                  <to>
                    <xdr:col>3</xdr:col>
                    <xdr:colOff>0</xdr:colOff>
                    <xdr:row>17</xdr:row>
                    <xdr:rowOff>47625</xdr:rowOff>
                  </to>
                </anchor>
              </controlPr>
            </control>
          </mc:Choice>
        </mc:AlternateContent>
        <mc:AlternateContent xmlns:mc="http://schemas.openxmlformats.org/markup-compatibility/2006">
          <mc:Choice Requires="x14">
            <control shapeId="91621" r:id="rId13" name="Check Box 1509">
              <controlPr defaultSize="0" autoFill="0" autoLine="0" autoPict="0">
                <anchor moveWithCells="1">
                  <from>
                    <xdr:col>0</xdr:col>
                    <xdr:colOff>0</xdr:colOff>
                    <xdr:row>17</xdr:row>
                    <xdr:rowOff>0</xdr:rowOff>
                  </from>
                  <to>
                    <xdr:col>3</xdr:col>
                    <xdr:colOff>0</xdr:colOff>
                    <xdr:row>18</xdr:row>
                    <xdr:rowOff>47625</xdr:rowOff>
                  </to>
                </anchor>
              </controlPr>
            </control>
          </mc:Choice>
        </mc:AlternateContent>
        <mc:AlternateContent xmlns:mc="http://schemas.openxmlformats.org/markup-compatibility/2006">
          <mc:Choice Requires="x14">
            <control shapeId="91622" r:id="rId14" name="Check Box 1510">
              <controlPr defaultSize="0" autoFill="0" autoLine="0" autoPict="0">
                <anchor moveWithCells="1">
                  <from>
                    <xdr:col>0</xdr:col>
                    <xdr:colOff>0</xdr:colOff>
                    <xdr:row>18</xdr:row>
                    <xdr:rowOff>0</xdr:rowOff>
                  </from>
                  <to>
                    <xdr:col>3</xdr:col>
                    <xdr:colOff>0</xdr:colOff>
                    <xdr:row>19</xdr:row>
                    <xdr:rowOff>47625</xdr:rowOff>
                  </to>
                </anchor>
              </controlPr>
            </control>
          </mc:Choice>
        </mc:AlternateContent>
        <mc:AlternateContent xmlns:mc="http://schemas.openxmlformats.org/markup-compatibility/2006">
          <mc:Choice Requires="x14">
            <control shapeId="91623" r:id="rId15" name="Check Box 1511">
              <controlPr defaultSize="0" autoFill="0" autoLine="0" autoPict="0">
                <anchor moveWithCells="1">
                  <from>
                    <xdr:col>0</xdr:col>
                    <xdr:colOff>0</xdr:colOff>
                    <xdr:row>19</xdr:row>
                    <xdr:rowOff>0</xdr:rowOff>
                  </from>
                  <to>
                    <xdr:col>3</xdr:col>
                    <xdr:colOff>0</xdr:colOff>
                    <xdr:row>20</xdr:row>
                    <xdr:rowOff>47625</xdr:rowOff>
                  </to>
                </anchor>
              </controlPr>
            </control>
          </mc:Choice>
        </mc:AlternateContent>
        <mc:AlternateContent xmlns:mc="http://schemas.openxmlformats.org/markup-compatibility/2006">
          <mc:Choice Requires="x14">
            <control shapeId="91624" r:id="rId16" name="Check Box 1512">
              <controlPr defaultSize="0" autoFill="0" autoLine="0" autoPict="0">
                <anchor moveWithCells="1">
                  <from>
                    <xdr:col>0</xdr:col>
                    <xdr:colOff>0</xdr:colOff>
                    <xdr:row>20</xdr:row>
                    <xdr:rowOff>0</xdr:rowOff>
                  </from>
                  <to>
                    <xdr:col>3</xdr:col>
                    <xdr:colOff>0</xdr:colOff>
                    <xdr:row>21</xdr:row>
                    <xdr:rowOff>47625</xdr:rowOff>
                  </to>
                </anchor>
              </controlPr>
            </control>
          </mc:Choice>
        </mc:AlternateContent>
        <mc:AlternateContent xmlns:mc="http://schemas.openxmlformats.org/markup-compatibility/2006">
          <mc:Choice Requires="x14">
            <control shapeId="91625" r:id="rId17" name="Check Box 1513">
              <controlPr defaultSize="0" autoFill="0" autoLine="0" autoPict="0">
                <anchor moveWithCells="1">
                  <from>
                    <xdr:col>0</xdr:col>
                    <xdr:colOff>0</xdr:colOff>
                    <xdr:row>21</xdr:row>
                    <xdr:rowOff>0</xdr:rowOff>
                  </from>
                  <to>
                    <xdr:col>3</xdr:col>
                    <xdr:colOff>0</xdr:colOff>
                    <xdr:row>22</xdr:row>
                    <xdr:rowOff>47625</xdr:rowOff>
                  </to>
                </anchor>
              </controlPr>
            </control>
          </mc:Choice>
        </mc:AlternateContent>
        <mc:AlternateContent xmlns:mc="http://schemas.openxmlformats.org/markup-compatibility/2006">
          <mc:Choice Requires="x14">
            <control shapeId="91626" r:id="rId18" name="Check Box 1514">
              <controlPr defaultSize="0" autoFill="0" autoLine="0" autoPict="0">
                <anchor moveWithCells="1">
                  <from>
                    <xdr:col>0</xdr:col>
                    <xdr:colOff>0</xdr:colOff>
                    <xdr:row>22</xdr:row>
                    <xdr:rowOff>0</xdr:rowOff>
                  </from>
                  <to>
                    <xdr:col>3</xdr:col>
                    <xdr:colOff>0</xdr:colOff>
                    <xdr:row>23</xdr:row>
                    <xdr:rowOff>47625</xdr:rowOff>
                  </to>
                </anchor>
              </controlPr>
            </control>
          </mc:Choice>
        </mc:AlternateContent>
        <mc:AlternateContent xmlns:mc="http://schemas.openxmlformats.org/markup-compatibility/2006">
          <mc:Choice Requires="x14">
            <control shapeId="91627" r:id="rId19" name="Check Box 1515">
              <controlPr defaultSize="0" autoFill="0" autoLine="0" autoPict="0">
                <anchor moveWithCells="1">
                  <from>
                    <xdr:col>0</xdr:col>
                    <xdr:colOff>0</xdr:colOff>
                    <xdr:row>23</xdr:row>
                    <xdr:rowOff>0</xdr:rowOff>
                  </from>
                  <to>
                    <xdr:col>3</xdr:col>
                    <xdr:colOff>0</xdr:colOff>
                    <xdr:row>24</xdr:row>
                    <xdr:rowOff>47625</xdr:rowOff>
                  </to>
                </anchor>
              </controlPr>
            </control>
          </mc:Choice>
        </mc:AlternateContent>
        <mc:AlternateContent xmlns:mc="http://schemas.openxmlformats.org/markup-compatibility/2006">
          <mc:Choice Requires="x14">
            <control shapeId="91628" r:id="rId20" name="Check Box 1516">
              <controlPr defaultSize="0" autoFill="0" autoLine="0" autoPict="0">
                <anchor moveWithCells="1">
                  <from>
                    <xdr:col>0</xdr:col>
                    <xdr:colOff>0</xdr:colOff>
                    <xdr:row>24</xdr:row>
                    <xdr:rowOff>0</xdr:rowOff>
                  </from>
                  <to>
                    <xdr:col>3</xdr:col>
                    <xdr:colOff>0</xdr:colOff>
                    <xdr:row>25</xdr:row>
                    <xdr:rowOff>47625</xdr:rowOff>
                  </to>
                </anchor>
              </controlPr>
            </control>
          </mc:Choice>
        </mc:AlternateContent>
        <mc:AlternateContent xmlns:mc="http://schemas.openxmlformats.org/markup-compatibility/2006">
          <mc:Choice Requires="x14">
            <control shapeId="91629" r:id="rId21" name="Check Box 1517">
              <controlPr defaultSize="0" autoFill="0" autoLine="0" autoPict="0">
                <anchor moveWithCells="1">
                  <from>
                    <xdr:col>0</xdr:col>
                    <xdr:colOff>0</xdr:colOff>
                    <xdr:row>25</xdr:row>
                    <xdr:rowOff>0</xdr:rowOff>
                  </from>
                  <to>
                    <xdr:col>3</xdr:col>
                    <xdr:colOff>0</xdr:colOff>
                    <xdr:row>26</xdr:row>
                    <xdr:rowOff>47625</xdr:rowOff>
                  </to>
                </anchor>
              </controlPr>
            </control>
          </mc:Choice>
        </mc:AlternateContent>
        <mc:AlternateContent xmlns:mc="http://schemas.openxmlformats.org/markup-compatibility/2006">
          <mc:Choice Requires="x14">
            <control shapeId="91630" r:id="rId22" name="Check Box 1518">
              <controlPr defaultSize="0" autoFill="0" autoLine="0" autoPict="0">
                <anchor moveWithCells="1">
                  <from>
                    <xdr:col>0</xdr:col>
                    <xdr:colOff>0</xdr:colOff>
                    <xdr:row>26</xdr:row>
                    <xdr:rowOff>0</xdr:rowOff>
                  </from>
                  <to>
                    <xdr:col>3</xdr:col>
                    <xdr:colOff>0</xdr:colOff>
                    <xdr:row>27</xdr:row>
                    <xdr:rowOff>47625</xdr:rowOff>
                  </to>
                </anchor>
              </controlPr>
            </control>
          </mc:Choice>
        </mc:AlternateContent>
        <mc:AlternateContent xmlns:mc="http://schemas.openxmlformats.org/markup-compatibility/2006">
          <mc:Choice Requires="x14">
            <control shapeId="91631" r:id="rId23" name="Check Box 1519">
              <controlPr defaultSize="0" autoFill="0" autoLine="0" autoPict="0">
                <anchor moveWithCells="1">
                  <from>
                    <xdr:col>0</xdr:col>
                    <xdr:colOff>0</xdr:colOff>
                    <xdr:row>27</xdr:row>
                    <xdr:rowOff>0</xdr:rowOff>
                  </from>
                  <to>
                    <xdr:col>3</xdr:col>
                    <xdr:colOff>0</xdr:colOff>
                    <xdr:row>28</xdr:row>
                    <xdr:rowOff>47625</xdr:rowOff>
                  </to>
                </anchor>
              </controlPr>
            </control>
          </mc:Choice>
        </mc:AlternateContent>
        <mc:AlternateContent xmlns:mc="http://schemas.openxmlformats.org/markup-compatibility/2006">
          <mc:Choice Requires="x14">
            <control shapeId="91632" r:id="rId24" name="Check Box 1520">
              <controlPr defaultSize="0" autoFill="0" autoLine="0" autoPict="0">
                <anchor moveWithCells="1">
                  <from>
                    <xdr:col>0</xdr:col>
                    <xdr:colOff>0</xdr:colOff>
                    <xdr:row>28</xdr:row>
                    <xdr:rowOff>0</xdr:rowOff>
                  </from>
                  <to>
                    <xdr:col>3</xdr:col>
                    <xdr:colOff>0</xdr:colOff>
                    <xdr:row>29</xdr:row>
                    <xdr:rowOff>47625</xdr:rowOff>
                  </to>
                </anchor>
              </controlPr>
            </control>
          </mc:Choice>
        </mc:AlternateContent>
        <mc:AlternateContent xmlns:mc="http://schemas.openxmlformats.org/markup-compatibility/2006">
          <mc:Choice Requires="x14">
            <control shapeId="91633" r:id="rId25" name="Check Box 1521">
              <controlPr defaultSize="0" autoFill="0" autoLine="0" autoPict="0">
                <anchor moveWithCells="1">
                  <from>
                    <xdr:col>0</xdr:col>
                    <xdr:colOff>0</xdr:colOff>
                    <xdr:row>29</xdr:row>
                    <xdr:rowOff>0</xdr:rowOff>
                  </from>
                  <to>
                    <xdr:col>3</xdr:col>
                    <xdr:colOff>0</xdr:colOff>
                    <xdr:row>30</xdr:row>
                    <xdr:rowOff>47625</xdr:rowOff>
                  </to>
                </anchor>
              </controlPr>
            </control>
          </mc:Choice>
        </mc:AlternateContent>
        <mc:AlternateContent xmlns:mc="http://schemas.openxmlformats.org/markup-compatibility/2006">
          <mc:Choice Requires="x14">
            <control shapeId="91634" r:id="rId26" name="Check Box 1522">
              <controlPr defaultSize="0" autoFill="0" autoLine="0" autoPict="0">
                <anchor moveWithCells="1">
                  <from>
                    <xdr:col>0</xdr:col>
                    <xdr:colOff>0</xdr:colOff>
                    <xdr:row>30</xdr:row>
                    <xdr:rowOff>0</xdr:rowOff>
                  </from>
                  <to>
                    <xdr:col>3</xdr:col>
                    <xdr:colOff>0</xdr:colOff>
                    <xdr:row>31</xdr:row>
                    <xdr:rowOff>47625</xdr:rowOff>
                  </to>
                </anchor>
              </controlPr>
            </control>
          </mc:Choice>
        </mc:AlternateContent>
        <mc:AlternateContent xmlns:mc="http://schemas.openxmlformats.org/markup-compatibility/2006">
          <mc:Choice Requires="x14">
            <control shapeId="91635" r:id="rId27" name="Check Box 1523">
              <controlPr defaultSize="0" autoFill="0" autoLine="0" autoPict="0">
                <anchor moveWithCells="1">
                  <from>
                    <xdr:col>0</xdr:col>
                    <xdr:colOff>0</xdr:colOff>
                    <xdr:row>31</xdr:row>
                    <xdr:rowOff>0</xdr:rowOff>
                  </from>
                  <to>
                    <xdr:col>3</xdr:col>
                    <xdr:colOff>0</xdr:colOff>
                    <xdr:row>32</xdr:row>
                    <xdr:rowOff>47625</xdr:rowOff>
                  </to>
                </anchor>
              </controlPr>
            </control>
          </mc:Choice>
        </mc:AlternateContent>
        <mc:AlternateContent xmlns:mc="http://schemas.openxmlformats.org/markup-compatibility/2006">
          <mc:Choice Requires="x14">
            <control shapeId="91636" r:id="rId28" name="Check Box 1524">
              <controlPr defaultSize="0" autoFill="0" autoLine="0" autoPict="0">
                <anchor moveWithCells="1">
                  <from>
                    <xdr:col>0</xdr:col>
                    <xdr:colOff>0</xdr:colOff>
                    <xdr:row>32</xdr:row>
                    <xdr:rowOff>0</xdr:rowOff>
                  </from>
                  <to>
                    <xdr:col>3</xdr:col>
                    <xdr:colOff>0</xdr:colOff>
                    <xdr:row>33</xdr:row>
                    <xdr:rowOff>47625</xdr:rowOff>
                  </to>
                </anchor>
              </controlPr>
            </control>
          </mc:Choice>
        </mc:AlternateContent>
        <mc:AlternateContent xmlns:mc="http://schemas.openxmlformats.org/markup-compatibility/2006">
          <mc:Choice Requires="x14">
            <control shapeId="91637" r:id="rId29" name="Check Box 1525">
              <controlPr defaultSize="0" autoFill="0" autoLine="0" autoPict="0">
                <anchor moveWithCells="1">
                  <from>
                    <xdr:col>0</xdr:col>
                    <xdr:colOff>0</xdr:colOff>
                    <xdr:row>33</xdr:row>
                    <xdr:rowOff>0</xdr:rowOff>
                  </from>
                  <to>
                    <xdr:col>3</xdr:col>
                    <xdr:colOff>0</xdr:colOff>
                    <xdr:row>34</xdr:row>
                    <xdr:rowOff>47625</xdr:rowOff>
                  </to>
                </anchor>
              </controlPr>
            </control>
          </mc:Choice>
        </mc:AlternateContent>
        <mc:AlternateContent xmlns:mc="http://schemas.openxmlformats.org/markup-compatibility/2006">
          <mc:Choice Requires="x14">
            <control shapeId="91638" r:id="rId30" name="Check Box 1526">
              <controlPr defaultSize="0" autoFill="0" autoLine="0" autoPict="0">
                <anchor moveWithCells="1">
                  <from>
                    <xdr:col>0</xdr:col>
                    <xdr:colOff>0</xdr:colOff>
                    <xdr:row>34</xdr:row>
                    <xdr:rowOff>0</xdr:rowOff>
                  </from>
                  <to>
                    <xdr:col>3</xdr:col>
                    <xdr:colOff>0</xdr:colOff>
                    <xdr:row>35</xdr:row>
                    <xdr:rowOff>47625</xdr:rowOff>
                  </to>
                </anchor>
              </controlPr>
            </control>
          </mc:Choice>
        </mc:AlternateContent>
        <mc:AlternateContent xmlns:mc="http://schemas.openxmlformats.org/markup-compatibility/2006">
          <mc:Choice Requires="x14">
            <control shapeId="91639" r:id="rId31" name="Check Box 1527">
              <controlPr defaultSize="0" autoFill="0" autoLine="0" autoPict="0">
                <anchor moveWithCells="1">
                  <from>
                    <xdr:col>0</xdr:col>
                    <xdr:colOff>0</xdr:colOff>
                    <xdr:row>35</xdr:row>
                    <xdr:rowOff>0</xdr:rowOff>
                  </from>
                  <to>
                    <xdr:col>3</xdr:col>
                    <xdr:colOff>0</xdr:colOff>
                    <xdr:row>36</xdr:row>
                    <xdr:rowOff>47625</xdr:rowOff>
                  </to>
                </anchor>
              </controlPr>
            </control>
          </mc:Choice>
        </mc:AlternateContent>
        <mc:AlternateContent xmlns:mc="http://schemas.openxmlformats.org/markup-compatibility/2006">
          <mc:Choice Requires="x14">
            <control shapeId="91640" r:id="rId32" name="Check Box 1528">
              <controlPr defaultSize="0" autoFill="0" autoLine="0" autoPict="0">
                <anchor moveWithCells="1">
                  <from>
                    <xdr:col>0</xdr:col>
                    <xdr:colOff>0</xdr:colOff>
                    <xdr:row>36</xdr:row>
                    <xdr:rowOff>0</xdr:rowOff>
                  </from>
                  <to>
                    <xdr:col>3</xdr:col>
                    <xdr:colOff>0</xdr:colOff>
                    <xdr:row>37</xdr:row>
                    <xdr:rowOff>47625</xdr:rowOff>
                  </to>
                </anchor>
              </controlPr>
            </control>
          </mc:Choice>
        </mc:AlternateContent>
        <mc:AlternateContent xmlns:mc="http://schemas.openxmlformats.org/markup-compatibility/2006">
          <mc:Choice Requires="x14">
            <control shapeId="91641" r:id="rId33" name="Check Box 1529">
              <controlPr defaultSize="0" autoFill="0" autoLine="0" autoPict="0">
                <anchor moveWithCells="1">
                  <from>
                    <xdr:col>0</xdr:col>
                    <xdr:colOff>0</xdr:colOff>
                    <xdr:row>37</xdr:row>
                    <xdr:rowOff>0</xdr:rowOff>
                  </from>
                  <to>
                    <xdr:col>3</xdr:col>
                    <xdr:colOff>0</xdr:colOff>
                    <xdr:row>38</xdr:row>
                    <xdr:rowOff>47625</xdr:rowOff>
                  </to>
                </anchor>
              </controlPr>
            </control>
          </mc:Choice>
        </mc:AlternateContent>
        <mc:AlternateContent xmlns:mc="http://schemas.openxmlformats.org/markup-compatibility/2006">
          <mc:Choice Requires="x14">
            <control shapeId="91642" r:id="rId34" name="Check Box 1530">
              <controlPr defaultSize="0" autoFill="0" autoLine="0" autoPict="0">
                <anchor moveWithCells="1">
                  <from>
                    <xdr:col>0</xdr:col>
                    <xdr:colOff>0</xdr:colOff>
                    <xdr:row>38</xdr:row>
                    <xdr:rowOff>0</xdr:rowOff>
                  </from>
                  <to>
                    <xdr:col>3</xdr:col>
                    <xdr:colOff>0</xdr:colOff>
                    <xdr:row>39</xdr:row>
                    <xdr:rowOff>47625</xdr:rowOff>
                  </to>
                </anchor>
              </controlPr>
            </control>
          </mc:Choice>
        </mc:AlternateContent>
        <mc:AlternateContent xmlns:mc="http://schemas.openxmlformats.org/markup-compatibility/2006">
          <mc:Choice Requires="x14">
            <control shapeId="91643" r:id="rId35" name="Check Box 1531">
              <controlPr defaultSize="0" autoFill="0" autoLine="0" autoPict="0">
                <anchor moveWithCells="1">
                  <from>
                    <xdr:col>0</xdr:col>
                    <xdr:colOff>0</xdr:colOff>
                    <xdr:row>39</xdr:row>
                    <xdr:rowOff>0</xdr:rowOff>
                  </from>
                  <to>
                    <xdr:col>3</xdr:col>
                    <xdr:colOff>0</xdr:colOff>
                    <xdr:row>40</xdr:row>
                    <xdr:rowOff>47625</xdr:rowOff>
                  </to>
                </anchor>
              </controlPr>
            </control>
          </mc:Choice>
        </mc:AlternateContent>
        <mc:AlternateContent xmlns:mc="http://schemas.openxmlformats.org/markup-compatibility/2006">
          <mc:Choice Requires="x14">
            <control shapeId="91644" r:id="rId36" name="Check Box 1532">
              <controlPr defaultSize="0" autoFill="0" autoLine="0" autoPict="0">
                <anchor moveWithCells="1">
                  <from>
                    <xdr:col>0</xdr:col>
                    <xdr:colOff>0</xdr:colOff>
                    <xdr:row>40</xdr:row>
                    <xdr:rowOff>0</xdr:rowOff>
                  </from>
                  <to>
                    <xdr:col>3</xdr:col>
                    <xdr:colOff>0</xdr:colOff>
                    <xdr:row>41</xdr:row>
                    <xdr:rowOff>47625</xdr:rowOff>
                  </to>
                </anchor>
              </controlPr>
            </control>
          </mc:Choice>
        </mc:AlternateContent>
        <mc:AlternateContent xmlns:mc="http://schemas.openxmlformats.org/markup-compatibility/2006">
          <mc:Choice Requires="x14">
            <control shapeId="91645" r:id="rId37" name="Check Box 1533">
              <controlPr defaultSize="0" autoFill="0" autoLine="0" autoPict="0">
                <anchor moveWithCells="1">
                  <from>
                    <xdr:col>0</xdr:col>
                    <xdr:colOff>0</xdr:colOff>
                    <xdr:row>41</xdr:row>
                    <xdr:rowOff>0</xdr:rowOff>
                  </from>
                  <to>
                    <xdr:col>3</xdr:col>
                    <xdr:colOff>0</xdr:colOff>
                    <xdr:row>42</xdr:row>
                    <xdr:rowOff>47625</xdr:rowOff>
                  </to>
                </anchor>
              </controlPr>
            </control>
          </mc:Choice>
        </mc:AlternateContent>
        <mc:AlternateContent xmlns:mc="http://schemas.openxmlformats.org/markup-compatibility/2006">
          <mc:Choice Requires="x14">
            <control shapeId="91646" r:id="rId38" name="Check Box 1534">
              <controlPr defaultSize="0" autoFill="0" autoLine="0" autoPict="0">
                <anchor moveWithCells="1">
                  <from>
                    <xdr:col>0</xdr:col>
                    <xdr:colOff>0</xdr:colOff>
                    <xdr:row>42</xdr:row>
                    <xdr:rowOff>0</xdr:rowOff>
                  </from>
                  <to>
                    <xdr:col>3</xdr:col>
                    <xdr:colOff>0</xdr:colOff>
                    <xdr:row>43</xdr:row>
                    <xdr:rowOff>47625</xdr:rowOff>
                  </to>
                </anchor>
              </controlPr>
            </control>
          </mc:Choice>
        </mc:AlternateContent>
        <mc:AlternateContent xmlns:mc="http://schemas.openxmlformats.org/markup-compatibility/2006">
          <mc:Choice Requires="x14">
            <control shapeId="91647" r:id="rId39" name="Check Box 1535">
              <controlPr defaultSize="0" autoFill="0" autoLine="0" autoPict="0">
                <anchor moveWithCells="1">
                  <from>
                    <xdr:col>0</xdr:col>
                    <xdr:colOff>0</xdr:colOff>
                    <xdr:row>43</xdr:row>
                    <xdr:rowOff>0</xdr:rowOff>
                  </from>
                  <to>
                    <xdr:col>3</xdr:col>
                    <xdr:colOff>0</xdr:colOff>
                    <xdr:row>44</xdr:row>
                    <xdr:rowOff>47625</xdr:rowOff>
                  </to>
                </anchor>
              </controlPr>
            </control>
          </mc:Choice>
        </mc:AlternateContent>
        <mc:AlternateContent xmlns:mc="http://schemas.openxmlformats.org/markup-compatibility/2006">
          <mc:Choice Requires="x14">
            <control shapeId="91648" r:id="rId40" name="Check Box 1536">
              <controlPr defaultSize="0" autoFill="0" autoLine="0" autoPict="0">
                <anchor moveWithCells="1">
                  <from>
                    <xdr:col>0</xdr:col>
                    <xdr:colOff>0</xdr:colOff>
                    <xdr:row>44</xdr:row>
                    <xdr:rowOff>0</xdr:rowOff>
                  </from>
                  <to>
                    <xdr:col>3</xdr:col>
                    <xdr:colOff>0</xdr:colOff>
                    <xdr:row>45</xdr:row>
                    <xdr:rowOff>47625</xdr:rowOff>
                  </to>
                </anchor>
              </controlPr>
            </control>
          </mc:Choice>
        </mc:AlternateContent>
        <mc:AlternateContent xmlns:mc="http://schemas.openxmlformats.org/markup-compatibility/2006">
          <mc:Choice Requires="x14">
            <control shapeId="91649" r:id="rId41" name="Check Box 1537">
              <controlPr defaultSize="0" autoFill="0" autoLine="0" autoPict="0">
                <anchor moveWithCells="1">
                  <from>
                    <xdr:col>0</xdr:col>
                    <xdr:colOff>0</xdr:colOff>
                    <xdr:row>45</xdr:row>
                    <xdr:rowOff>0</xdr:rowOff>
                  </from>
                  <to>
                    <xdr:col>3</xdr:col>
                    <xdr:colOff>0</xdr:colOff>
                    <xdr:row>46</xdr:row>
                    <xdr:rowOff>47625</xdr:rowOff>
                  </to>
                </anchor>
              </controlPr>
            </control>
          </mc:Choice>
        </mc:AlternateContent>
        <mc:AlternateContent xmlns:mc="http://schemas.openxmlformats.org/markup-compatibility/2006">
          <mc:Choice Requires="x14">
            <control shapeId="91650" r:id="rId42" name="Check Box 1538">
              <controlPr defaultSize="0" autoFill="0" autoLine="0" autoPict="0">
                <anchor moveWithCells="1">
                  <from>
                    <xdr:col>0</xdr:col>
                    <xdr:colOff>0</xdr:colOff>
                    <xdr:row>46</xdr:row>
                    <xdr:rowOff>9525</xdr:rowOff>
                  </from>
                  <to>
                    <xdr:col>3</xdr:col>
                    <xdr:colOff>0</xdr:colOff>
                    <xdr:row>47</xdr:row>
                    <xdr:rowOff>57150</xdr:rowOff>
                  </to>
                </anchor>
              </controlPr>
            </control>
          </mc:Choice>
        </mc:AlternateContent>
        <mc:AlternateContent xmlns:mc="http://schemas.openxmlformats.org/markup-compatibility/2006">
          <mc:Choice Requires="x14">
            <control shapeId="91651" r:id="rId43" name="Check Box 1539">
              <controlPr defaultSize="0" autoFill="0" autoLine="0" autoPict="0">
                <anchor moveWithCells="1">
                  <from>
                    <xdr:col>0</xdr:col>
                    <xdr:colOff>0</xdr:colOff>
                    <xdr:row>47</xdr:row>
                    <xdr:rowOff>0</xdr:rowOff>
                  </from>
                  <to>
                    <xdr:col>3</xdr:col>
                    <xdr:colOff>0</xdr:colOff>
                    <xdr:row>48</xdr:row>
                    <xdr:rowOff>47625</xdr:rowOff>
                  </to>
                </anchor>
              </controlPr>
            </control>
          </mc:Choice>
        </mc:AlternateContent>
        <mc:AlternateContent xmlns:mc="http://schemas.openxmlformats.org/markup-compatibility/2006">
          <mc:Choice Requires="x14">
            <control shapeId="91652" r:id="rId44" name="Check Box 1540">
              <controlPr defaultSize="0" autoFill="0" autoLine="0" autoPict="0">
                <anchor moveWithCells="1">
                  <from>
                    <xdr:col>0</xdr:col>
                    <xdr:colOff>0</xdr:colOff>
                    <xdr:row>48</xdr:row>
                    <xdr:rowOff>0</xdr:rowOff>
                  </from>
                  <to>
                    <xdr:col>3</xdr:col>
                    <xdr:colOff>0</xdr:colOff>
                    <xdr:row>49</xdr:row>
                    <xdr:rowOff>47625</xdr:rowOff>
                  </to>
                </anchor>
              </controlPr>
            </control>
          </mc:Choice>
        </mc:AlternateContent>
        <mc:AlternateContent xmlns:mc="http://schemas.openxmlformats.org/markup-compatibility/2006">
          <mc:Choice Requires="x14">
            <control shapeId="91653" r:id="rId45" name="Check Box 1541">
              <controlPr defaultSize="0" autoFill="0" autoLine="0" autoPict="0">
                <anchor moveWithCells="1">
                  <from>
                    <xdr:col>0</xdr:col>
                    <xdr:colOff>0</xdr:colOff>
                    <xdr:row>49</xdr:row>
                    <xdr:rowOff>0</xdr:rowOff>
                  </from>
                  <to>
                    <xdr:col>3</xdr:col>
                    <xdr:colOff>0</xdr:colOff>
                    <xdr:row>50</xdr:row>
                    <xdr:rowOff>47625</xdr:rowOff>
                  </to>
                </anchor>
              </controlPr>
            </control>
          </mc:Choice>
        </mc:AlternateContent>
        <mc:AlternateContent xmlns:mc="http://schemas.openxmlformats.org/markup-compatibility/2006">
          <mc:Choice Requires="x14">
            <control shapeId="91654" r:id="rId46" name="Check Box 1542">
              <controlPr defaultSize="0" autoFill="0" autoLine="0" autoPict="0">
                <anchor moveWithCells="1">
                  <from>
                    <xdr:col>0</xdr:col>
                    <xdr:colOff>0</xdr:colOff>
                    <xdr:row>50</xdr:row>
                    <xdr:rowOff>0</xdr:rowOff>
                  </from>
                  <to>
                    <xdr:col>3</xdr:col>
                    <xdr:colOff>0</xdr:colOff>
                    <xdr:row>51</xdr:row>
                    <xdr:rowOff>47625</xdr:rowOff>
                  </to>
                </anchor>
              </controlPr>
            </control>
          </mc:Choice>
        </mc:AlternateContent>
        <mc:AlternateContent xmlns:mc="http://schemas.openxmlformats.org/markup-compatibility/2006">
          <mc:Choice Requires="x14">
            <control shapeId="91655" r:id="rId47" name="Check Box 1543">
              <controlPr defaultSize="0" autoFill="0" autoLine="0" autoPict="0">
                <anchor moveWithCells="1">
                  <from>
                    <xdr:col>0</xdr:col>
                    <xdr:colOff>0</xdr:colOff>
                    <xdr:row>51</xdr:row>
                    <xdr:rowOff>0</xdr:rowOff>
                  </from>
                  <to>
                    <xdr:col>3</xdr:col>
                    <xdr:colOff>0</xdr:colOff>
                    <xdr:row>52</xdr:row>
                    <xdr:rowOff>47625</xdr:rowOff>
                  </to>
                </anchor>
              </controlPr>
            </control>
          </mc:Choice>
        </mc:AlternateContent>
        <mc:AlternateContent xmlns:mc="http://schemas.openxmlformats.org/markup-compatibility/2006">
          <mc:Choice Requires="x14">
            <control shapeId="91656" r:id="rId48" name="Check Box 1544">
              <controlPr defaultSize="0" autoFill="0" autoLine="0" autoPict="0">
                <anchor moveWithCells="1">
                  <from>
                    <xdr:col>0</xdr:col>
                    <xdr:colOff>0</xdr:colOff>
                    <xdr:row>52</xdr:row>
                    <xdr:rowOff>0</xdr:rowOff>
                  </from>
                  <to>
                    <xdr:col>3</xdr:col>
                    <xdr:colOff>0</xdr:colOff>
                    <xdr:row>53</xdr:row>
                    <xdr:rowOff>47625</xdr:rowOff>
                  </to>
                </anchor>
              </controlPr>
            </control>
          </mc:Choice>
        </mc:AlternateContent>
        <mc:AlternateContent xmlns:mc="http://schemas.openxmlformats.org/markup-compatibility/2006">
          <mc:Choice Requires="x14">
            <control shapeId="91657" r:id="rId49" name="Check Box 1545">
              <controlPr defaultSize="0" autoFill="0" autoLine="0" autoPict="0">
                <anchor moveWithCells="1">
                  <from>
                    <xdr:col>0</xdr:col>
                    <xdr:colOff>0</xdr:colOff>
                    <xdr:row>53</xdr:row>
                    <xdr:rowOff>0</xdr:rowOff>
                  </from>
                  <to>
                    <xdr:col>3</xdr:col>
                    <xdr:colOff>0</xdr:colOff>
                    <xdr:row>54</xdr:row>
                    <xdr:rowOff>47625</xdr:rowOff>
                  </to>
                </anchor>
              </controlPr>
            </control>
          </mc:Choice>
        </mc:AlternateContent>
        <mc:AlternateContent xmlns:mc="http://schemas.openxmlformats.org/markup-compatibility/2006">
          <mc:Choice Requires="x14">
            <control shapeId="91658" r:id="rId50" name="Check Box 1546">
              <controlPr defaultSize="0" autoFill="0" autoLine="0" autoPict="0">
                <anchor moveWithCells="1">
                  <from>
                    <xdr:col>0</xdr:col>
                    <xdr:colOff>0</xdr:colOff>
                    <xdr:row>54</xdr:row>
                    <xdr:rowOff>0</xdr:rowOff>
                  </from>
                  <to>
                    <xdr:col>3</xdr:col>
                    <xdr:colOff>0</xdr:colOff>
                    <xdr:row>55</xdr:row>
                    <xdr:rowOff>47625</xdr:rowOff>
                  </to>
                </anchor>
              </controlPr>
            </control>
          </mc:Choice>
        </mc:AlternateContent>
        <mc:AlternateContent xmlns:mc="http://schemas.openxmlformats.org/markup-compatibility/2006">
          <mc:Choice Requires="x14">
            <control shapeId="91659" r:id="rId51" name="Check Box 1547">
              <controlPr defaultSize="0" autoFill="0" autoLine="0" autoPict="0">
                <anchor moveWithCells="1">
                  <from>
                    <xdr:col>0</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91660" r:id="rId52" name="Check Box 1548">
              <controlPr defaultSize="0" autoFill="0" autoLine="0" autoPict="0">
                <anchor moveWithCells="1">
                  <from>
                    <xdr:col>0</xdr:col>
                    <xdr:colOff>0</xdr:colOff>
                    <xdr:row>56</xdr:row>
                    <xdr:rowOff>0</xdr:rowOff>
                  </from>
                  <to>
                    <xdr:col>3</xdr:col>
                    <xdr:colOff>0</xdr:colOff>
                    <xdr:row>57</xdr:row>
                    <xdr:rowOff>47625</xdr:rowOff>
                  </to>
                </anchor>
              </controlPr>
            </control>
          </mc:Choice>
        </mc:AlternateContent>
        <mc:AlternateContent xmlns:mc="http://schemas.openxmlformats.org/markup-compatibility/2006">
          <mc:Choice Requires="x14">
            <control shapeId="91661" r:id="rId53" name="Check Box 1549">
              <controlPr defaultSize="0" autoFill="0" autoLine="0" autoPict="0">
                <anchor moveWithCells="1">
                  <from>
                    <xdr:col>0</xdr:col>
                    <xdr:colOff>0</xdr:colOff>
                    <xdr:row>57</xdr:row>
                    <xdr:rowOff>0</xdr:rowOff>
                  </from>
                  <to>
                    <xdr:col>3</xdr:col>
                    <xdr:colOff>0</xdr:colOff>
                    <xdr:row>58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J35"/>
  <sheetViews>
    <sheetView workbookViewId="0">
      <selection sqref="A1:C1"/>
    </sheetView>
  </sheetViews>
  <sheetFormatPr defaultColWidth="9.1328125" defaultRowHeight="14.25" x14ac:dyDescent="0.45"/>
  <cols>
    <col min="1" max="1" width="15.86328125" style="1" customWidth="1"/>
    <col min="2" max="2" width="14.59765625" style="1" customWidth="1"/>
    <col min="3" max="3" width="127" style="1" bestFit="1" customWidth="1"/>
    <col min="4" max="10" width="9.1328125" style="1" hidden="1" customWidth="1"/>
    <col min="11" max="16384" width="9.1328125" style="1"/>
  </cols>
  <sheetData>
    <row r="1" spans="1:10" ht="18" x14ac:dyDescent="0.55000000000000004">
      <c r="A1" s="194" t="str">
        <f>CONCATENATE(Title, " ", Version)</f>
        <v>COMSCC 2025 v13.2</v>
      </c>
      <c r="B1" s="194"/>
      <c r="C1" s="194"/>
      <c r="D1" s="34"/>
      <c r="E1" s="34"/>
      <c r="F1" s="34"/>
    </row>
    <row r="3" spans="1:10" ht="28.5" x14ac:dyDescent="0.45">
      <c r="A3" s="101" t="s">
        <v>100</v>
      </c>
    </row>
    <row r="5" spans="1:10" x14ac:dyDescent="0.45">
      <c r="A5" s="24" t="s">
        <v>53</v>
      </c>
    </row>
    <row r="6" spans="1:10" x14ac:dyDescent="0.45">
      <c r="A6" s="3" t="s">
        <v>447</v>
      </c>
    </row>
    <row r="8" spans="1:10" x14ac:dyDescent="0.45">
      <c r="A8" s="19" t="s">
        <v>633</v>
      </c>
      <c r="B8" s="11" t="s">
        <v>0</v>
      </c>
      <c r="C8" s="19" t="s">
        <v>1</v>
      </c>
      <c r="G8" s="1" t="b">
        <f>IF(H8&gt;0, TRUE, FALSE)</f>
        <v>0</v>
      </c>
      <c r="H8" s="1">
        <f>COUNTIF(H9:H30, TRUE)</f>
        <v>0</v>
      </c>
    </row>
    <row r="9" spans="1:10" x14ac:dyDescent="0.45">
      <c r="A9" s="33"/>
      <c r="B9" s="6">
        <v>6</v>
      </c>
      <c r="C9" s="17" t="s">
        <v>358</v>
      </c>
      <c r="D9" s="43" t="b">
        <v>0</v>
      </c>
      <c r="E9" s="43" t="b">
        <f>OR(D9, A9)</f>
        <v>0</v>
      </c>
      <c r="F9" s="1">
        <f>COUNTIF(D9:D18, TRUE)</f>
        <v>0</v>
      </c>
      <c r="G9" s="1">
        <f>IF(E9, B9, 0)</f>
        <v>0</v>
      </c>
      <c r="H9" s="1" t="b">
        <f>J9&gt;1</f>
        <v>0</v>
      </c>
      <c r="I9" s="1" t="b">
        <f t="shared" ref="I9:I18" si="0">AND(D9,H$9)</f>
        <v>0</v>
      </c>
      <c r="J9" s="1">
        <f>COUNTIF(E9:E18, TRUE)</f>
        <v>0</v>
      </c>
    </row>
    <row r="10" spans="1:10" x14ac:dyDescent="0.45">
      <c r="A10" s="33"/>
      <c r="B10" s="6">
        <v>4</v>
      </c>
      <c r="C10" s="17" t="s">
        <v>700</v>
      </c>
      <c r="D10" s="43" t="b">
        <v>0</v>
      </c>
      <c r="E10" s="43" t="b">
        <f>OR(D10, A10)</f>
        <v>0</v>
      </c>
      <c r="G10" s="1">
        <f>IF(E10, B10, 0)</f>
        <v>0</v>
      </c>
      <c r="I10" s="1" t="b">
        <f t="shared" si="0"/>
        <v>0</v>
      </c>
    </row>
    <row r="11" spans="1:10" x14ac:dyDescent="0.45">
      <c r="A11" s="33"/>
      <c r="B11" s="6">
        <v>3</v>
      </c>
      <c r="C11" s="17" t="s">
        <v>701</v>
      </c>
      <c r="D11" s="43" t="b">
        <v>0</v>
      </c>
      <c r="E11" s="43" t="b">
        <f>OR(D11, A11)</f>
        <v>0</v>
      </c>
      <c r="G11" s="1">
        <f t="shared" ref="G11:G30" si="1">IF(E11, B11, 0)</f>
        <v>0</v>
      </c>
      <c r="I11" s="1" t="b">
        <f t="shared" si="0"/>
        <v>0</v>
      </c>
    </row>
    <row r="12" spans="1:10" x14ac:dyDescent="0.45">
      <c r="A12" s="33"/>
      <c r="B12" s="6">
        <v>3</v>
      </c>
      <c r="C12" s="17" t="s">
        <v>702</v>
      </c>
      <c r="D12" s="43" t="b">
        <v>0</v>
      </c>
      <c r="E12" s="43" t="b">
        <f>OR(D12, A12)</f>
        <v>0</v>
      </c>
      <c r="G12" s="1">
        <f t="shared" si="1"/>
        <v>0</v>
      </c>
      <c r="I12" s="1" t="b">
        <f t="shared" si="0"/>
        <v>0</v>
      </c>
    </row>
    <row r="13" spans="1:10" x14ac:dyDescent="0.45">
      <c r="A13" s="33"/>
      <c r="B13" s="6">
        <v>1</v>
      </c>
      <c r="C13" s="17" t="s">
        <v>703</v>
      </c>
      <c r="D13" s="43" t="b">
        <v>0</v>
      </c>
      <c r="E13" s="43" t="b">
        <f t="shared" ref="E13:E30" si="2">OR(D13, A13)</f>
        <v>0</v>
      </c>
      <c r="G13" s="1">
        <f t="shared" si="1"/>
        <v>0</v>
      </c>
      <c r="I13" s="1" t="b">
        <f t="shared" si="0"/>
        <v>0</v>
      </c>
    </row>
    <row r="14" spans="1:10" x14ac:dyDescent="0.45">
      <c r="A14" s="33"/>
      <c r="B14" s="6">
        <v>1</v>
      </c>
      <c r="C14" s="17" t="s">
        <v>824</v>
      </c>
      <c r="D14" s="43" t="b">
        <v>0</v>
      </c>
      <c r="E14" s="43" t="b">
        <f t="shared" si="2"/>
        <v>0</v>
      </c>
      <c r="G14" s="1">
        <f t="shared" si="1"/>
        <v>0</v>
      </c>
      <c r="I14" s="1" t="b">
        <f t="shared" si="0"/>
        <v>0</v>
      </c>
    </row>
    <row r="15" spans="1:10" x14ac:dyDescent="0.45">
      <c r="A15" s="33"/>
      <c r="B15" s="6">
        <v>0</v>
      </c>
      <c r="C15" s="17" t="s">
        <v>707</v>
      </c>
      <c r="D15" s="43" t="b">
        <v>0</v>
      </c>
      <c r="E15" s="43" t="b">
        <f>OR(D15, A15)</f>
        <v>0</v>
      </c>
      <c r="G15" s="1">
        <f t="shared" si="1"/>
        <v>0</v>
      </c>
      <c r="I15" s="1" t="b">
        <f t="shared" si="0"/>
        <v>0</v>
      </c>
    </row>
    <row r="16" spans="1:10" x14ac:dyDescent="0.45">
      <c r="A16" s="33"/>
      <c r="B16" s="6">
        <v>-1</v>
      </c>
      <c r="C16" s="17" t="s">
        <v>706</v>
      </c>
      <c r="D16" s="43" t="b">
        <v>0</v>
      </c>
      <c r="E16" s="43" t="b">
        <f>OR(D16, A16)</f>
        <v>0</v>
      </c>
      <c r="G16" s="1">
        <f t="shared" si="1"/>
        <v>0</v>
      </c>
      <c r="I16" s="1" t="b">
        <f t="shared" si="0"/>
        <v>0</v>
      </c>
    </row>
    <row r="17" spans="1:10" x14ac:dyDescent="0.45">
      <c r="A17" s="33"/>
      <c r="B17" s="6">
        <v>-2</v>
      </c>
      <c r="C17" s="17" t="s">
        <v>705</v>
      </c>
      <c r="D17" s="43" t="b">
        <v>0</v>
      </c>
      <c r="E17" s="43" t="b">
        <f>OR(D17, A17)</f>
        <v>0</v>
      </c>
      <c r="G17" s="1">
        <f t="shared" si="1"/>
        <v>0</v>
      </c>
      <c r="I17" s="1" t="b">
        <f t="shared" si="0"/>
        <v>0</v>
      </c>
    </row>
    <row r="18" spans="1:10" x14ac:dyDescent="0.45">
      <c r="A18" s="33"/>
      <c r="B18" s="6">
        <v>-2</v>
      </c>
      <c r="C18" s="17" t="s">
        <v>704</v>
      </c>
      <c r="D18" s="43" t="b">
        <v>0</v>
      </c>
      <c r="E18" s="43" t="b">
        <f>OR(D18, A18)</f>
        <v>0</v>
      </c>
      <c r="G18" s="1">
        <f t="shared" si="1"/>
        <v>0</v>
      </c>
      <c r="I18" s="1" t="b">
        <f t="shared" si="0"/>
        <v>0</v>
      </c>
    </row>
    <row r="19" spans="1:10" x14ac:dyDescent="0.45">
      <c r="A19" s="33"/>
      <c r="B19" s="6">
        <v>1</v>
      </c>
      <c r="C19" s="17" t="s">
        <v>22</v>
      </c>
      <c r="D19" s="43" t="b">
        <v>0</v>
      </c>
      <c r="E19" s="43" t="b">
        <f t="shared" si="2"/>
        <v>0</v>
      </c>
      <c r="G19" s="1">
        <f t="shared" si="1"/>
        <v>0</v>
      </c>
      <c r="I19" s="1" t="b">
        <v>0</v>
      </c>
    </row>
    <row r="20" spans="1:10" x14ac:dyDescent="0.45">
      <c r="A20" s="51"/>
      <c r="B20" s="6">
        <v>0</v>
      </c>
      <c r="C20" s="17" t="s">
        <v>23</v>
      </c>
      <c r="D20" s="43" t="b">
        <v>0</v>
      </c>
      <c r="E20" s="43" t="b">
        <f t="shared" si="2"/>
        <v>0</v>
      </c>
      <c r="F20" s="1">
        <f>COUNTIF(D20:D21, TRUE)</f>
        <v>0</v>
      </c>
      <c r="G20" s="1">
        <f t="shared" si="1"/>
        <v>0</v>
      </c>
      <c r="H20" s="1" t="b">
        <f>J20&gt;1</f>
        <v>0</v>
      </c>
      <c r="I20" s="1" t="b">
        <f>AND(D20,H$20)</f>
        <v>0</v>
      </c>
      <c r="J20" s="1">
        <f>COUNTIF(E20:E21, TRUE)</f>
        <v>0</v>
      </c>
    </row>
    <row r="21" spans="1:10" x14ac:dyDescent="0.45">
      <c r="A21" s="33"/>
      <c r="B21" s="6">
        <v>1</v>
      </c>
      <c r="C21" s="17" t="s">
        <v>24</v>
      </c>
      <c r="D21" s="43" t="b">
        <v>0</v>
      </c>
      <c r="E21" s="43" t="b">
        <f t="shared" si="2"/>
        <v>0</v>
      </c>
      <c r="G21" s="1">
        <f t="shared" si="1"/>
        <v>0</v>
      </c>
      <c r="I21" s="1" t="b">
        <f>AND(D21,H$20)</f>
        <v>0</v>
      </c>
    </row>
    <row r="22" spans="1:10" x14ac:dyDescent="0.45">
      <c r="A22" s="33"/>
      <c r="B22" s="6">
        <v>2</v>
      </c>
      <c r="C22" s="17" t="s">
        <v>359</v>
      </c>
      <c r="D22" s="43" t="b">
        <v>0</v>
      </c>
      <c r="E22" s="43" t="b">
        <f t="shared" si="2"/>
        <v>0</v>
      </c>
      <c r="G22" s="1">
        <f t="shared" si="1"/>
        <v>0</v>
      </c>
      <c r="I22" s="1" t="b">
        <v>0</v>
      </c>
    </row>
    <row r="23" spans="1:10" ht="15.75" customHeight="1" x14ac:dyDescent="0.45">
      <c r="A23" s="33"/>
      <c r="B23" s="6">
        <v>2</v>
      </c>
      <c r="C23" s="17" t="s">
        <v>25</v>
      </c>
      <c r="D23" s="43" t="b">
        <v>0</v>
      </c>
      <c r="E23" s="43" t="b">
        <f t="shared" si="2"/>
        <v>0</v>
      </c>
      <c r="G23" s="1">
        <f t="shared" si="1"/>
        <v>0</v>
      </c>
      <c r="I23" s="1" t="b">
        <v>0</v>
      </c>
    </row>
    <row r="24" spans="1:10" x14ac:dyDescent="0.45">
      <c r="A24" s="33"/>
      <c r="B24" s="6">
        <v>1</v>
      </c>
      <c r="C24" s="17" t="s">
        <v>26</v>
      </c>
      <c r="D24" s="43" t="b">
        <v>0</v>
      </c>
      <c r="E24" s="43" t="b">
        <f t="shared" si="2"/>
        <v>0</v>
      </c>
      <c r="G24" s="1">
        <f t="shared" si="1"/>
        <v>0</v>
      </c>
      <c r="I24" s="1" t="b">
        <v>0</v>
      </c>
    </row>
    <row r="25" spans="1:10" x14ac:dyDescent="0.45">
      <c r="A25" s="33"/>
      <c r="B25" s="6">
        <v>2</v>
      </c>
      <c r="C25" s="17" t="s">
        <v>27</v>
      </c>
      <c r="D25" s="43" t="b">
        <v>0</v>
      </c>
      <c r="E25" s="43" t="b">
        <f t="shared" si="2"/>
        <v>0</v>
      </c>
      <c r="G25" s="1">
        <f t="shared" si="1"/>
        <v>0</v>
      </c>
      <c r="I25" s="1" t="b">
        <v>0</v>
      </c>
    </row>
    <row r="26" spans="1:10" x14ac:dyDescent="0.45">
      <c r="A26" s="33"/>
      <c r="B26" s="6">
        <v>0.5</v>
      </c>
      <c r="C26" s="17" t="s">
        <v>709</v>
      </c>
      <c r="D26" s="43" t="b">
        <v>0</v>
      </c>
      <c r="E26" s="43" t="b">
        <f t="shared" si="2"/>
        <v>0</v>
      </c>
      <c r="G26" s="1">
        <f t="shared" si="1"/>
        <v>0</v>
      </c>
      <c r="I26" s="1" t="b">
        <v>0</v>
      </c>
    </row>
    <row r="27" spans="1:10" x14ac:dyDescent="0.45">
      <c r="A27" s="51"/>
      <c r="B27" s="49">
        <v>0</v>
      </c>
      <c r="C27" s="17" t="s">
        <v>708</v>
      </c>
      <c r="D27" s="43" t="b">
        <v>0</v>
      </c>
      <c r="E27" s="43" t="b">
        <f>OR(D27, A27)</f>
        <v>0</v>
      </c>
      <c r="G27" s="1">
        <f t="shared" si="1"/>
        <v>0</v>
      </c>
      <c r="I27" s="1" t="b">
        <v>0</v>
      </c>
    </row>
    <row r="28" spans="1:10" x14ac:dyDescent="0.45">
      <c r="A28" s="51"/>
      <c r="B28" s="49">
        <v>0</v>
      </c>
      <c r="C28" s="6" t="s">
        <v>474</v>
      </c>
      <c r="D28" s="43" t="b">
        <v>0</v>
      </c>
      <c r="E28" s="43" t="b">
        <f t="shared" si="2"/>
        <v>0</v>
      </c>
      <c r="G28" s="1">
        <f t="shared" si="1"/>
        <v>0</v>
      </c>
      <c r="I28" s="1" t="b">
        <v>0</v>
      </c>
    </row>
    <row r="29" spans="1:10" x14ac:dyDescent="0.45">
      <c r="A29" s="51"/>
      <c r="B29" s="49">
        <v>0</v>
      </c>
      <c r="C29" s="6" t="s">
        <v>28</v>
      </c>
      <c r="D29" s="43" t="b">
        <v>0</v>
      </c>
      <c r="E29" s="43" t="b">
        <f t="shared" si="2"/>
        <v>0</v>
      </c>
      <c r="G29" s="1">
        <f t="shared" si="1"/>
        <v>0</v>
      </c>
      <c r="I29" s="1" t="b">
        <v>0</v>
      </c>
    </row>
    <row r="30" spans="1:10" x14ac:dyDescent="0.45">
      <c r="A30" s="51"/>
      <c r="B30" s="49">
        <v>0</v>
      </c>
      <c r="C30" s="6" t="s">
        <v>335</v>
      </c>
      <c r="D30" s="43" t="b">
        <v>0</v>
      </c>
      <c r="E30" s="43" t="b">
        <f t="shared" si="2"/>
        <v>0</v>
      </c>
      <c r="G30" s="1">
        <f t="shared" si="1"/>
        <v>0</v>
      </c>
      <c r="I30" s="1" t="b">
        <v>0</v>
      </c>
    </row>
    <row r="31" spans="1:10" x14ac:dyDescent="0.45">
      <c r="A31" s="8" t="s">
        <v>20</v>
      </c>
      <c r="B31" s="9">
        <f>IF(G8, "Select Error", SUM(G9:G30))</f>
        <v>0</v>
      </c>
      <c r="C31" s="18"/>
    </row>
    <row r="32" spans="1:10" ht="14.65" thickBot="1" x14ac:dyDescent="0.5"/>
    <row r="33" spans="1:2" ht="43.15" thickBot="1" x14ac:dyDescent="0.5">
      <c r="A33" s="23" t="s">
        <v>55</v>
      </c>
      <c r="B33" s="106">
        <f>Total</f>
        <v>0</v>
      </c>
    </row>
    <row r="35" spans="1:2" ht="28.5" x14ac:dyDescent="0.45">
      <c r="A35" s="101" t="s">
        <v>102</v>
      </c>
      <c r="B35" s="101" t="s">
        <v>103</v>
      </c>
    </row>
  </sheetData>
  <sheetProtection algorithmName="SHA-512" hashValue="Bzvul2RlOWyYuRYlqshG7nGAQThwRg2arjYjo4ZWYsA+RlNjB+LJhNUM6ew+st13mJhh2cOWAHtHstdFZ2CLLg==" saltValue="0zDujXeZMbpHWhCJSs1HJA==" spinCount="100000" sheet="1" objects="1" scenarios="1"/>
  <mergeCells count="1">
    <mergeCell ref="A1:C1"/>
  </mergeCells>
  <conditionalFormatting sqref="B31">
    <cfRule type="expression" dxfId="143" priority="1" stopIfTrue="1">
      <formula>($F$8)</formula>
    </cfRule>
  </conditionalFormatting>
  <conditionalFormatting sqref="B9:C9">
    <cfRule type="expression" dxfId="142" priority="14">
      <formula>$D$9</formula>
    </cfRule>
  </conditionalFormatting>
  <conditionalFormatting sqref="B9:C18">
    <cfRule type="expression" dxfId="141" priority="4" stopIfTrue="1">
      <formula>AND(D9, $F$9&gt;1)</formula>
    </cfRule>
  </conditionalFormatting>
  <conditionalFormatting sqref="B10:C10">
    <cfRule type="expression" dxfId="140" priority="15">
      <formula>$D$10</formula>
    </cfRule>
  </conditionalFormatting>
  <conditionalFormatting sqref="B11:C11">
    <cfRule type="expression" dxfId="139" priority="16">
      <formula>$D$11</formula>
    </cfRule>
  </conditionalFormatting>
  <conditionalFormatting sqref="B12:C12">
    <cfRule type="expression" dxfId="138" priority="17">
      <formula>$D$12</formula>
    </cfRule>
  </conditionalFormatting>
  <conditionalFormatting sqref="B13:C13">
    <cfRule type="expression" dxfId="137" priority="18">
      <formula>$D$13</formula>
    </cfRule>
  </conditionalFormatting>
  <conditionalFormatting sqref="B14:C14">
    <cfRule type="expression" dxfId="136" priority="19">
      <formula>$D$14</formula>
    </cfRule>
  </conditionalFormatting>
  <conditionalFormatting sqref="B15:C15">
    <cfRule type="expression" dxfId="135" priority="20">
      <formula>$D$15</formula>
    </cfRule>
  </conditionalFormatting>
  <conditionalFormatting sqref="B16:C16">
    <cfRule type="expression" dxfId="134" priority="21">
      <formula>$D$16</formula>
    </cfRule>
  </conditionalFormatting>
  <conditionalFormatting sqref="B17:C17">
    <cfRule type="expression" dxfId="133" priority="22">
      <formula>$D$17</formula>
    </cfRule>
  </conditionalFormatting>
  <conditionalFormatting sqref="B18:C18">
    <cfRule type="expression" dxfId="132" priority="23">
      <formula>$D$18</formula>
    </cfRule>
  </conditionalFormatting>
  <conditionalFormatting sqref="B19:C19">
    <cfRule type="expression" dxfId="131" priority="24">
      <formula>$D$19</formula>
    </cfRule>
  </conditionalFormatting>
  <conditionalFormatting sqref="B20:C20">
    <cfRule type="expression" dxfId="130" priority="25">
      <formula>$D$20</formula>
    </cfRule>
  </conditionalFormatting>
  <conditionalFormatting sqref="B20:C21">
    <cfRule type="expression" dxfId="129" priority="2" stopIfTrue="1">
      <formula>AND(D20, $F$20&gt;1)</formula>
    </cfRule>
  </conditionalFormatting>
  <conditionalFormatting sqref="B21:C21">
    <cfRule type="expression" dxfId="128" priority="26">
      <formula>$D$21</formula>
    </cfRule>
  </conditionalFormatting>
  <conditionalFormatting sqref="B22:C22">
    <cfRule type="expression" dxfId="127" priority="27">
      <formula>$D$22</formula>
    </cfRule>
  </conditionalFormatting>
  <conditionalFormatting sqref="B23:C23">
    <cfRule type="expression" dxfId="126" priority="28">
      <formula>$D$23</formula>
    </cfRule>
  </conditionalFormatting>
  <conditionalFormatting sqref="B24:C24">
    <cfRule type="expression" dxfId="125" priority="29">
      <formula>$D$24</formula>
    </cfRule>
  </conditionalFormatting>
  <conditionalFormatting sqref="B25:C25">
    <cfRule type="expression" dxfId="124" priority="30">
      <formula>$D$25</formula>
    </cfRule>
  </conditionalFormatting>
  <conditionalFormatting sqref="B26:C26">
    <cfRule type="expression" dxfId="123" priority="31">
      <formula>$D$26</formula>
    </cfRule>
  </conditionalFormatting>
  <conditionalFormatting sqref="B27:C27">
    <cfRule type="expression" dxfId="122" priority="32">
      <formula>$D$27</formula>
    </cfRule>
  </conditionalFormatting>
  <conditionalFormatting sqref="B28:C28">
    <cfRule type="expression" dxfId="121" priority="33">
      <formula>$D$28</formula>
    </cfRule>
  </conditionalFormatting>
  <conditionalFormatting sqref="B29:C29">
    <cfRule type="expression" dxfId="120" priority="34">
      <formula>$D$29</formula>
    </cfRule>
  </conditionalFormatting>
  <conditionalFormatting sqref="B30:C30">
    <cfRule type="expression" dxfId="119" priority="35">
      <formula>$D$30</formula>
    </cfRule>
  </conditionalFormatting>
  <dataValidations count="1">
    <dataValidation type="list" allowBlank="1" showInputMessage="1" showErrorMessage="1" sqref="A9:A30" xr:uid="{00000000-0002-0000-0400-000000000000}">
      <formula1>"TRUE,FALSE"</formula1>
    </dataValidation>
  </dataValidations>
  <hyperlinks>
    <hyperlink ref="A35" location="Engine!A1" display="Go to previous sheet (Engine)" xr:uid="{00000000-0004-0000-0400-000000000000}"/>
    <hyperlink ref="B35" location="Suspension!A1" display="Go to next sheet (Suspension)" xr:uid="{00000000-0004-0000-0400-000001000000}"/>
    <hyperlink ref="A3" location="Summary!A1" display="Touring Class Summary" xr:uid="{00000000-0004-0000-0400-000002000000}"/>
  </hyperlinks>
  <pageMargins left="0.7" right="0.7" top="0.75" bottom="0.75" header="0.3" footer="0.3"/>
  <pageSetup scale="77" orientation="landscape"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23" r:id="rId4" name="Check Box 243">
              <controlPr defaultSize="0" autoFill="0" autoLine="0" autoPict="0">
                <anchor moveWithCells="1">
                  <from>
                    <xdr:col>0</xdr:col>
                    <xdr:colOff>0</xdr:colOff>
                    <xdr:row>8</xdr:row>
                    <xdr:rowOff>0</xdr:rowOff>
                  </from>
                  <to>
                    <xdr:col>2</xdr:col>
                    <xdr:colOff>8458200</xdr:colOff>
                    <xdr:row>9</xdr:row>
                    <xdr:rowOff>19050</xdr:rowOff>
                  </to>
                </anchor>
              </controlPr>
            </control>
          </mc:Choice>
        </mc:AlternateContent>
        <mc:AlternateContent xmlns:mc="http://schemas.openxmlformats.org/markup-compatibility/2006">
          <mc:Choice Requires="x14">
            <control shapeId="20724" r:id="rId5" name="Check Box 244">
              <controlPr defaultSize="0" autoFill="0" autoLine="0" autoPict="0">
                <anchor moveWithCells="1">
                  <from>
                    <xdr:col>0</xdr:col>
                    <xdr:colOff>0</xdr:colOff>
                    <xdr:row>9</xdr:row>
                    <xdr:rowOff>0</xdr:rowOff>
                  </from>
                  <to>
                    <xdr:col>2</xdr:col>
                    <xdr:colOff>8458200</xdr:colOff>
                    <xdr:row>10</xdr:row>
                    <xdr:rowOff>19050</xdr:rowOff>
                  </to>
                </anchor>
              </controlPr>
            </control>
          </mc:Choice>
        </mc:AlternateContent>
        <mc:AlternateContent xmlns:mc="http://schemas.openxmlformats.org/markup-compatibility/2006">
          <mc:Choice Requires="x14">
            <control shapeId="20725" r:id="rId6" name="Check Box 245">
              <controlPr defaultSize="0" autoFill="0" autoLine="0" autoPict="0">
                <anchor moveWithCells="1">
                  <from>
                    <xdr:col>0</xdr:col>
                    <xdr:colOff>0</xdr:colOff>
                    <xdr:row>10</xdr:row>
                    <xdr:rowOff>0</xdr:rowOff>
                  </from>
                  <to>
                    <xdr:col>2</xdr:col>
                    <xdr:colOff>8458200</xdr:colOff>
                    <xdr:row>11</xdr:row>
                    <xdr:rowOff>19050</xdr:rowOff>
                  </to>
                </anchor>
              </controlPr>
            </control>
          </mc:Choice>
        </mc:AlternateContent>
        <mc:AlternateContent xmlns:mc="http://schemas.openxmlformats.org/markup-compatibility/2006">
          <mc:Choice Requires="x14">
            <control shapeId="20726" r:id="rId7" name="Check Box 246">
              <controlPr defaultSize="0" autoFill="0" autoLine="0" autoPict="0">
                <anchor moveWithCells="1">
                  <from>
                    <xdr:col>0</xdr:col>
                    <xdr:colOff>0</xdr:colOff>
                    <xdr:row>11</xdr:row>
                    <xdr:rowOff>0</xdr:rowOff>
                  </from>
                  <to>
                    <xdr:col>2</xdr:col>
                    <xdr:colOff>8458200</xdr:colOff>
                    <xdr:row>12</xdr:row>
                    <xdr:rowOff>19050</xdr:rowOff>
                  </to>
                </anchor>
              </controlPr>
            </control>
          </mc:Choice>
        </mc:AlternateContent>
        <mc:AlternateContent xmlns:mc="http://schemas.openxmlformats.org/markup-compatibility/2006">
          <mc:Choice Requires="x14">
            <control shapeId="20727" r:id="rId8" name="Check Box 247">
              <controlPr defaultSize="0" autoFill="0" autoLine="0" autoPict="0">
                <anchor moveWithCells="1">
                  <from>
                    <xdr:col>0</xdr:col>
                    <xdr:colOff>0</xdr:colOff>
                    <xdr:row>12</xdr:row>
                    <xdr:rowOff>0</xdr:rowOff>
                  </from>
                  <to>
                    <xdr:col>2</xdr:col>
                    <xdr:colOff>8458200</xdr:colOff>
                    <xdr:row>13</xdr:row>
                    <xdr:rowOff>19050</xdr:rowOff>
                  </to>
                </anchor>
              </controlPr>
            </control>
          </mc:Choice>
        </mc:AlternateContent>
        <mc:AlternateContent xmlns:mc="http://schemas.openxmlformats.org/markup-compatibility/2006">
          <mc:Choice Requires="x14">
            <control shapeId="20728" r:id="rId9" name="Check Box 248">
              <controlPr defaultSize="0" autoFill="0" autoLine="0" autoPict="0">
                <anchor moveWithCells="1">
                  <from>
                    <xdr:col>0</xdr:col>
                    <xdr:colOff>0</xdr:colOff>
                    <xdr:row>13</xdr:row>
                    <xdr:rowOff>0</xdr:rowOff>
                  </from>
                  <to>
                    <xdr:col>2</xdr:col>
                    <xdr:colOff>8458200</xdr:colOff>
                    <xdr:row>14</xdr:row>
                    <xdr:rowOff>19050</xdr:rowOff>
                  </to>
                </anchor>
              </controlPr>
            </control>
          </mc:Choice>
        </mc:AlternateContent>
        <mc:AlternateContent xmlns:mc="http://schemas.openxmlformats.org/markup-compatibility/2006">
          <mc:Choice Requires="x14">
            <control shapeId="20729" r:id="rId10" name="Check Box 249">
              <controlPr defaultSize="0" autoFill="0" autoLine="0" autoPict="0">
                <anchor moveWithCells="1">
                  <from>
                    <xdr:col>0</xdr:col>
                    <xdr:colOff>0</xdr:colOff>
                    <xdr:row>14</xdr:row>
                    <xdr:rowOff>0</xdr:rowOff>
                  </from>
                  <to>
                    <xdr:col>2</xdr:col>
                    <xdr:colOff>8458200</xdr:colOff>
                    <xdr:row>15</xdr:row>
                    <xdr:rowOff>19050</xdr:rowOff>
                  </to>
                </anchor>
              </controlPr>
            </control>
          </mc:Choice>
        </mc:AlternateContent>
        <mc:AlternateContent xmlns:mc="http://schemas.openxmlformats.org/markup-compatibility/2006">
          <mc:Choice Requires="x14">
            <control shapeId="20730" r:id="rId11" name="Check Box 250">
              <controlPr defaultSize="0" autoFill="0" autoLine="0" autoPict="0">
                <anchor moveWithCells="1">
                  <from>
                    <xdr:col>0</xdr:col>
                    <xdr:colOff>0</xdr:colOff>
                    <xdr:row>15</xdr:row>
                    <xdr:rowOff>0</xdr:rowOff>
                  </from>
                  <to>
                    <xdr:col>2</xdr:col>
                    <xdr:colOff>8458200</xdr:colOff>
                    <xdr:row>16</xdr:row>
                    <xdr:rowOff>19050</xdr:rowOff>
                  </to>
                </anchor>
              </controlPr>
            </control>
          </mc:Choice>
        </mc:AlternateContent>
        <mc:AlternateContent xmlns:mc="http://schemas.openxmlformats.org/markup-compatibility/2006">
          <mc:Choice Requires="x14">
            <control shapeId="20731" r:id="rId12" name="Check Box 251">
              <controlPr defaultSize="0" autoFill="0" autoLine="0" autoPict="0">
                <anchor moveWithCells="1">
                  <from>
                    <xdr:col>0</xdr:col>
                    <xdr:colOff>0</xdr:colOff>
                    <xdr:row>16</xdr:row>
                    <xdr:rowOff>0</xdr:rowOff>
                  </from>
                  <to>
                    <xdr:col>2</xdr:col>
                    <xdr:colOff>8458200</xdr:colOff>
                    <xdr:row>17</xdr:row>
                    <xdr:rowOff>19050</xdr:rowOff>
                  </to>
                </anchor>
              </controlPr>
            </control>
          </mc:Choice>
        </mc:AlternateContent>
        <mc:AlternateContent xmlns:mc="http://schemas.openxmlformats.org/markup-compatibility/2006">
          <mc:Choice Requires="x14">
            <control shapeId="20732" r:id="rId13" name="Check Box 252">
              <controlPr defaultSize="0" autoFill="0" autoLine="0" autoPict="0">
                <anchor moveWithCells="1">
                  <from>
                    <xdr:col>0</xdr:col>
                    <xdr:colOff>0</xdr:colOff>
                    <xdr:row>17</xdr:row>
                    <xdr:rowOff>0</xdr:rowOff>
                  </from>
                  <to>
                    <xdr:col>2</xdr:col>
                    <xdr:colOff>8458200</xdr:colOff>
                    <xdr:row>18</xdr:row>
                    <xdr:rowOff>19050</xdr:rowOff>
                  </to>
                </anchor>
              </controlPr>
            </control>
          </mc:Choice>
        </mc:AlternateContent>
        <mc:AlternateContent xmlns:mc="http://schemas.openxmlformats.org/markup-compatibility/2006">
          <mc:Choice Requires="x14">
            <control shapeId="20733" r:id="rId14" name="Check Box 253">
              <controlPr defaultSize="0" autoFill="0" autoLine="0" autoPict="0">
                <anchor moveWithCells="1">
                  <from>
                    <xdr:col>0</xdr:col>
                    <xdr:colOff>0</xdr:colOff>
                    <xdr:row>18</xdr:row>
                    <xdr:rowOff>0</xdr:rowOff>
                  </from>
                  <to>
                    <xdr:col>2</xdr:col>
                    <xdr:colOff>8458200</xdr:colOff>
                    <xdr:row>19</xdr:row>
                    <xdr:rowOff>19050</xdr:rowOff>
                  </to>
                </anchor>
              </controlPr>
            </control>
          </mc:Choice>
        </mc:AlternateContent>
        <mc:AlternateContent xmlns:mc="http://schemas.openxmlformats.org/markup-compatibility/2006">
          <mc:Choice Requires="x14">
            <control shapeId="20734" r:id="rId15" name="Check Box 254">
              <controlPr defaultSize="0" autoFill="0" autoLine="0" autoPict="0">
                <anchor moveWithCells="1">
                  <from>
                    <xdr:col>0</xdr:col>
                    <xdr:colOff>0</xdr:colOff>
                    <xdr:row>19</xdr:row>
                    <xdr:rowOff>0</xdr:rowOff>
                  </from>
                  <to>
                    <xdr:col>2</xdr:col>
                    <xdr:colOff>8458200</xdr:colOff>
                    <xdr:row>20</xdr:row>
                    <xdr:rowOff>19050</xdr:rowOff>
                  </to>
                </anchor>
              </controlPr>
            </control>
          </mc:Choice>
        </mc:AlternateContent>
        <mc:AlternateContent xmlns:mc="http://schemas.openxmlformats.org/markup-compatibility/2006">
          <mc:Choice Requires="x14">
            <control shapeId="20735" r:id="rId16" name="Check Box 255">
              <controlPr defaultSize="0" autoFill="0" autoLine="0" autoPict="0">
                <anchor moveWithCells="1">
                  <from>
                    <xdr:col>0</xdr:col>
                    <xdr:colOff>0</xdr:colOff>
                    <xdr:row>20</xdr:row>
                    <xdr:rowOff>0</xdr:rowOff>
                  </from>
                  <to>
                    <xdr:col>2</xdr:col>
                    <xdr:colOff>8458200</xdr:colOff>
                    <xdr:row>21</xdr:row>
                    <xdr:rowOff>19050</xdr:rowOff>
                  </to>
                </anchor>
              </controlPr>
            </control>
          </mc:Choice>
        </mc:AlternateContent>
        <mc:AlternateContent xmlns:mc="http://schemas.openxmlformats.org/markup-compatibility/2006">
          <mc:Choice Requires="x14">
            <control shapeId="20736" r:id="rId17" name="Check Box 256">
              <controlPr defaultSize="0" autoFill="0" autoLine="0" autoPict="0">
                <anchor moveWithCells="1">
                  <from>
                    <xdr:col>0</xdr:col>
                    <xdr:colOff>0</xdr:colOff>
                    <xdr:row>21</xdr:row>
                    <xdr:rowOff>0</xdr:rowOff>
                  </from>
                  <to>
                    <xdr:col>2</xdr:col>
                    <xdr:colOff>8458200</xdr:colOff>
                    <xdr:row>22</xdr:row>
                    <xdr:rowOff>19050</xdr:rowOff>
                  </to>
                </anchor>
              </controlPr>
            </control>
          </mc:Choice>
        </mc:AlternateContent>
        <mc:AlternateContent xmlns:mc="http://schemas.openxmlformats.org/markup-compatibility/2006">
          <mc:Choice Requires="x14">
            <control shapeId="20737" r:id="rId18" name="Check Box 257">
              <controlPr defaultSize="0" autoFill="0" autoLine="0" autoPict="0">
                <anchor moveWithCells="1">
                  <from>
                    <xdr:col>0</xdr:col>
                    <xdr:colOff>0</xdr:colOff>
                    <xdr:row>22</xdr:row>
                    <xdr:rowOff>0</xdr:rowOff>
                  </from>
                  <to>
                    <xdr:col>2</xdr:col>
                    <xdr:colOff>8458200</xdr:colOff>
                    <xdr:row>23</xdr:row>
                    <xdr:rowOff>9525</xdr:rowOff>
                  </to>
                </anchor>
              </controlPr>
            </control>
          </mc:Choice>
        </mc:AlternateContent>
        <mc:AlternateContent xmlns:mc="http://schemas.openxmlformats.org/markup-compatibility/2006">
          <mc:Choice Requires="x14">
            <control shapeId="20738" r:id="rId19" name="Check Box 258">
              <controlPr defaultSize="0" autoFill="0" autoLine="0" autoPict="0">
                <anchor moveWithCells="1">
                  <from>
                    <xdr:col>0</xdr:col>
                    <xdr:colOff>0</xdr:colOff>
                    <xdr:row>23</xdr:row>
                    <xdr:rowOff>0</xdr:rowOff>
                  </from>
                  <to>
                    <xdr:col>2</xdr:col>
                    <xdr:colOff>8458200</xdr:colOff>
                    <xdr:row>24</xdr:row>
                    <xdr:rowOff>19050</xdr:rowOff>
                  </to>
                </anchor>
              </controlPr>
            </control>
          </mc:Choice>
        </mc:AlternateContent>
        <mc:AlternateContent xmlns:mc="http://schemas.openxmlformats.org/markup-compatibility/2006">
          <mc:Choice Requires="x14">
            <control shapeId="20739" r:id="rId20" name="Check Box 259">
              <controlPr defaultSize="0" autoFill="0" autoLine="0" autoPict="0">
                <anchor moveWithCells="1">
                  <from>
                    <xdr:col>0</xdr:col>
                    <xdr:colOff>0</xdr:colOff>
                    <xdr:row>24</xdr:row>
                    <xdr:rowOff>0</xdr:rowOff>
                  </from>
                  <to>
                    <xdr:col>2</xdr:col>
                    <xdr:colOff>8458200</xdr:colOff>
                    <xdr:row>25</xdr:row>
                    <xdr:rowOff>19050</xdr:rowOff>
                  </to>
                </anchor>
              </controlPr>
            </control>
          </mc:Choice>
        </mc:AlternateContent>
        <mc:AlternateContent xmlns:mc="http://schemas.openxmlformats.org/markup-compatibility/2006">
          <mc:Choice Requires="x14">
            <control shapeId="20740" r:id="rId21" name="Check Box 260">
              <controlPr defaultSize="0" autoFill="0" autoLine="0" autoPict="0">
                <anchor moveWithCells="1">
                  <from>
                    <xdr:col>0</xdr:col>
                    <xdr:colOff>0</xdr:colOff>
                    <xdr:row>25</xdr:row>
                    <xdr:rowOff>0</xdr:rowOff>
                  </from>
                  <to>
                    <xdr:col>2</xdr:col>
                    <xdr:colOff>8458200</xdr:colOff>
                    <xdr:row>26</xdr:row>
                    <xdr:rowOff>19050</xdr:rowOff>
                  </to>
                </anchor>
              </controlPr>
            </control>
          </mc:Choice>
        </mc:AlternateContent>
        <mc:AlternateContent xmlns:mc="http://schemas.openxmlformats.org/markup-compatibility/2006">
          <mc:Choice Requires="x14">
            <control shapeId="20741" r:id="rId22" name="Check Box 261">
              <controlPr defaultSize="0" autoFill="0" autoLine="0" autoPict="0">
                <anchor moveWithCells="1">
                  <from>
                    <xdr:col>0</xdr:col>
                    <xdr:colOff>0</xdr:colOff>
                    <xdr:row>26</xdr:row>
                    <xdr:rowOff>0</xdr:rowOff>
                  </from>
                  <to>
                    <xdr:col>2</xdr:col>
                    <xdr:colOff>8458200</xdr:colOff>
                    <xdr:row>27</xdr:row>
                    <xdr:rowOff>19050</xdr:rowOff>
                  </to>
                </anchor>
              </controlPr>
            </control>
          </mc:Choice>
        </mc:AlternateContent>
        <mc:AlternateContent xmlns:mc="http://schemas.openxmlformats.org/markup-compatibility/2006">
          <mc:Choice Requires="x14">
            <control shapeId="20742" r:id="rId23" name="Check Box 262">
              <controlPr defaultSize="0" autoFill="0" autoLine="0" autoPict="0">
                <anchor moveWithCells="1">
                  <from>
                    <xdr:col>0</xdr:col>
                    <xdr:colOff>0</xdr:colOff>
                    <xdr:row>27</xdr:row>
                    <xdr:rowOff>0</xdr:rowOff>
                  </from>
                  <to>
                    <xdr:col>2</xdr:col>
                    <xdr:colOff>8458200</xdr:colOff>
                    <xdr:row>28</xdr:row>
                    <xdr:rowOff>19050</xdr:rowOff>
                  </to>
                </anchor>
              </controlPr>
            </control>
          </mc:Choice>
        </mc:AlternateContent>
        <mc:AlternateContent xmlns:mc="http://schemas.openxmlformats.org/markup-compatibility/2006">
          <mc:Choice Requires="x14">
            <control shapeId="20743" r:id="rId24" name="Check Box 263">
              <controlPr defaultSize="0" autoFill="0" autoLine="0" autoPict="0">
                <anchor moveWithCells="1">
                  <from>
                    <xdr:col>0</xdr:col>
                    <xdr:colOff>0</xdr:colOff>
                    <xdr:row>28</xdr:row>
                    <xdr:rowOff>0</xdr:rowOff>
                  </from>
                  <to>
                    <xdr:col>2</xdr:col>
                    <xdr:colOff>8458200</xdr:colOff>
                    <xdr:row>29</xdr:row>
                    <xdr:rowOff>19050</xdr:rowOff>
                  </to>
                </anchor>
              </controlPr>
            </control>
          </mc:Choice>
        </mc:AlternateContent>
        <mc:AlternateContent xmlns:mc="http://schemas.openxmlformats.org/markup-compatibility/2006">
          <mc:Choice Requires="x14">
            <control shapeId="20744" r:id="rId25" name="Check Box 264">
              <controlPr defaultSize="0" autoFill="0" autoLine="0" autoPict="0">
                <anchor moveWithCells="1">
                  <from>
                    <xdr:col>0</xdr:col>
                    <xdr:colOff>0</xdr:colOff>
                    <xdr:row>29</xdr:row>
                    <xdr:rowOff>0</xdr:rowOff>
                  </from>
                  <to>
                    <xdr:col>2</xdr:col>
                    <xdr:colOff>8458200</xdr:colOff>
                    <xdr:row>30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43"/>
  <sheetViews>
    <sheetView workbookViewId="0">
      <selection sqref="A1:C1"/>
    </sheetView>
  </sheetViews>
  <sheetFormatPr defaultColWidth="9.1328125" defaultRowHeight="14.25" x14ac:dyDescent="0.45"/>
  <cols>
    <col min="1" max="1" width="17" style="1" customWidth="1"/>
    <col min="2" max="2" width="12.73046875" style="1" bestFit="1" customWidth="1"/>
    <col min="3" max="3" width="101.59765625" style="2" customWidth="1"/>
    <col min="4" max="9" width="9.1328125" style="1" hidden="1" customWidth="1"/>
    <col min="10" max="16384" width="9.1328125" style="1"/>
  </cols>
  <sheetData>
    <row r="1" spans="1:9" ht="18" x14ac:dyDescent="0.55000000000000004">
      <c r="A1" s="194" t="str">
        <f>CONCATENATE(Title, " ", Version)</f>
        <v>COMSCC 2025 v13.2</v>
      </c>
      <c r="B1" s="194"/>
      <c r="C1" s="194"/>
      <c r="D1" s="34"/>
      <c r="E1" s="34"/>
      <c r="F1" s="34"/>
    </row>
    <row r="3" spans="1:9" ht="28.5" x14ac:dyDescent="0.45">
      <c r="A3" s="101" t="s">
        <v>100</v>
      </c>
    </row>
    <row r="5" spans="1:9" x14ac:dyDescent="0.45">
      <c r="A5" s="24" t="s">
        <v>59</v>
      </c>
    </row>
    <row r="6" spans="1:9" x14ac:dyDescent="0.45">
      <c r="A6" s="3" t="s">
        <v>447</v>
      </c>
    </row>
    <row r="8" spans="1:9" x14ac:dyDescent="0.45">
      <c r="A8" s="19" t="s">
        <v>633</v>
      </c>
      <c r="B8" s="11" t="s">
        <v>0</v>
      </c>
      <c r="C8" s="19" t="s">
        <v>1</v>
      </c>
      <c r="G8" s="1" t="b">
        <f>IF(H8&gt;0, TRUE, FALSE)</f>
        <v>0</v>
      </c>
      <c r="H8" s="1">
        <f>COUNTIF(H10:H38, TRUE)</f>
        <v>0</v>
      </c>
    </row>
    <row r="9" spans="1:9" x14ac:dyDescent="0.45">
      <c r="A9" s="33"/>
      <c r="B9" s="6">
        <v>1</v>
      </c>
      <c r="C9" s="17" t="s">
        <v>635</v>
      </c>
      <c r="D9" s="1" t="b">
        <f>OR(E9,A9)</f>
        <v>0</v>
      </c>
      <c r="E9" s="43" t="b">
        <v>0</v>
      </c>
      <c r="F9" s="1">
        <f>IF(D9, B9, 0)</f>
        <v>0</v>
      </c>
      <c r="G9" s="1">
        <f>COUNTIF(D9:D12, TRUE)</f>
        <v>0</v>
      </c>
      <c r="H9" s="1" t="b">
        <f>G9&gt;1</f>
        <v>0</v>
      </c>
      <c r="I9" s="1" t="b">
        <f>AND(D9,H$9)</f>
        <v>0</v>
      </c>
    </row>
    <row r="10" spans="1:9" x14ac:dyDescent="0.45">
      <c r="A10" s="33"/>
      <c r="B10" s="6">
        <v>1</v>
      </c>
      <c r="C10" s="17" t="s">
        <v>476</v>
      </c>
      <c r="D10" s="1" t="b">
        <f>OR(E10,A10)</f>
        <v>0</v>
      </c>
      <c r="E10" s="43" t="b">
        <v>0</v>
      </c>
      <c r="F10" s="1">
        <f>IF(D10, B10, 0)</f>
        <v>0</v>
      </c>
      <c r="G10" s="2"/>
      <c r="I10" s="1" t="b">
        <f>AND(D10,H$9)</f>
        <v>0</v>
      </c>
    </row>
    <row r="11" spans="1:9" x14ac:dyDescent="0.45">
      <c r="A11" s="33"/>
      <c r="B11" s="6">
        <v>2</v>
      </c>
      <c r="C11" s="17" t="s">
        <v>475</v>
      </c>
      <c r="D11" s="1" t="b">
        <f t="shared" ref="D11:D38" si="0">OR(E11,A11)</f>
        <v>0</v>
      </c>
      <c r="E11" s="43" t="b">
        <v>0</v>
      </c>
      <c r="F11" s="1">
        <f>IF(D11, B11, 0)</f>
        <v>0</v>
      </c>
      <c r="I11" s="1" t="b">
        <f>AND(D11,H$9)</f>
        <v>0</v>
      </c>
    </row>
    <row r="12" spans="1:9" x14ac:dyDescent="0.45">
      <c r="A12" s="33"/>
      <c r="B12" s="6">
        <v>3</v>
      </c>
      <c r="C12" s="17" t="s">
        <v>477</v>
      </c>
      <c r="D12" s="1" t="b">
        <f t="shared" si="0"/>
        <v>0</v>
      </c>
      <c r="E12" s="43" t="b">
        <v>0</v>
      </c>
      <c r="F12" s="1">
        <f>IF(D12, B12, 0)</f>
        <v>0</v>
      </c>
      <c r="I12" s="1" t="b">
        <f>AND(D12,H$9)</f>
        <v>0</v>
      </c>
    </row>
    <row r="13" spans="1:9" ht="28.5" x14ac:dyDescent="0.45">
      <c r="A13" s="33"/>
      <c r="B13" s="6">
        <v>1</v>
      </c>
      <c r="C13" s="17" t="s">
        <v>478</v>
      </c>
      <c r="D13" s="1" t="b">
        <f t="shared" si="0"/>
        <v>0</v>
      </c>
      <c r="E13" s="43" t="b">
        <v>0</v>
      </c>
      <c r="F13" s="1">
        <f t="shared" ref="F13:F38" si="1">IF(D13, B13, 0)</f>
        <v>0</v>
      </c>
      <c r="I13" s="1" t="b">
        <v>0</v>
      </c>
    </row>
    <row r="14" spans="1:9" x14ac:dyDescent="0.45">
      <c r="A14" s="33"/>
      <c r="B14" s="6">
        <v>2</v>
      </c>
      <c r="C14" s="17" t="s">
        <v>507</v>
      </c>
      <c r="D14" s="1" t="b">
        <f t="shared" si="0"/>
        <v>0</v>
      </c>
      <c r="E14" s="43" t="b">
        <v>0</v>
      </c>
      <c r="F14" s="1">
        <f t="shared" si="1"/>
        <v>0</v>
      </c>
      <c r="G14" s="2">
        <f>COUNTIF(D14:D15, TRUE)</f>
        <v>0</v>
      </c>
      <c r="H14" s="1" t="b">
        <f>G14&gt;1</f>
        <v>0</v>
      </c>
      <c r="I14" s="1" t="b">
        <f>AND(D14,H$14)</f>
        <v>0</v>
      </c>
    </row>
    <row r="15" spans="1:9" ht="28.5" x14ac:dyDescent="0.45">
      <c r="A15" s="33"/>
      <c r="B15" s="6">
        <v>3</v>
      </c>
      <c r="C15" s="17" t="s">
        <v>508</v>
      </c>
      <c r="D15" s="1" t="b">
        <f t="shared" si="0"/>
        <v>0</v>
      </c>
      <c r="E15" s="43" t="b">
        <v>0</v>
      </c>
      <c r="F15" s="1">
        <f t="shared" si="1"/>
        <v>0</v>
      </c>
      <c r="I15" s="1" t="b">
        <f>AND(D15,H$14)</f>
        <v>0</v>
      </c>
    </row>
    <row r="16" spans="1:9" x14ac:dyDescent="0.45">
      <c r="A16" s="33"/>
      <c r="B16" s="6">
        <v>1</v>
      </c>
      <c r="C16" s="17" t="s">
        <v>30</v>
      </c>
      <c r="D16" s="1" t="b">
        <f t="shared" si="0"/>
        <v>0</v>
      </c>
      <c r="E16" s="43" t="b">
        <v>0</v>
      </c>
      <c r="F16" s="1">
        <f t="shared" si="1"/>
        <v>0</v>
      </c>
    </row>
    <row r="17" spans="1:9" x14ac:dyDescent="0.45">
      <c r="A17" s="33"/>
      <c r="B17" s="6">
        <v>1</v>
      </c>
      <c r="C17" s="17" t="s">
        <v>31</v>
      </c>
      <c r="D17" s="1" t="b">
        <f t="shared" si="0"/>
        <v>0</v>
      </c>
      <c r="E17" s="43" t="b">
        <v>0</v>
      </c>
      <c r="F17" s="1">
        <f t="shared" si="1"/>
        <v>0</v>
      </c>
    </row>
    <row r="18" spans="1:9" x14ac:dyDescent="0.45">
      <c r="A18" s="33"/>
      <c r="B18" s="6">
        <v>1</v>
      </c>
      <c r="C18" s="17" t="s">
        <v>595</v>
      </c>
      <c r="D18" s="1" t="b">
        <f t="shared" si="0"/>
        <v>0</v>
      </c>
      <c r="E18" s="43" t="b">
        <v>0</v>
      </c>
      <c r="F18" s="1">
        <f t="shared" si="1"/>
        <v>0</v>
      </c>
    </row>
    <row r="19" spans="1:9" ht="28.5" x14ac:dyDescent="0.45">
      <c r="A19" s="33"/>
      <c r="B19" s="6">
        <v>1</v>
      </c>
      <c r="C19" s="17" t="s">
        <v>519</v>
      </c>
      <c r="D19" s="1" t="b">
        <f t="shared" si="0"/>
        <v>0</v>
      </c>
      <c r="E19" s="43" t="b">
        <v>0</v>
      </c>
      <c r="F19" s="1">
        <f t="shared" si="1"/>
        <v>0</v>
      </c>
    </row>
    <row r="20" spans="1:9" x14ac:dyDescent="0.45">
      <c r="A20" s="33"/>
      <c r="B20" s="6">
        <v>2</v>
      </c>
      <c r="C20" s="17" t="s">
        <v>32</v>
      </c>
      <c r="D20" s="1" t="b">
        <f t="shared" si="0"/>
        <v>0</v>
      </c>
      <c r="E20" s="43" t="b">
        <v>0</v>
      </c>
      <c r="F20" s="1">
        <f t="shared" si="1"/>
        <v>0</v>
      </c>
    </row>
    <row r="21" spans="1:9" x14ac:dyDescent="0.45">
      <c r="A21" s="33"/>
      <c r="B21" s="6">
        <v>1</v>
      </c>
      <c r="C21" s="17" t="s">
        <v>33</v>
      </c>
      <c r="D21" s="1" t="b">
        <f t="shared" si="0"/>
        <v>0</v>
      </c>
      <c r="E21" s="43" t="b">
        <v>0</v>
      </c>
      <c r="F21" s="1">
        <f t="shared" si="1"/>
        <v>0</v>
      </c>
    </row>
    <row r="22" spans="1:9" x14ac:dyDescent="0.45">
      <c r="A22" s="33"/>
      <c r="B22" s="6">
        <v>1</v>
      </c>
      <c r="C22" s="17" t="s">
        <v>34</v>
      </c>
      <c r="D22" s="1" t="b">
        <f t="shared" si="0"/>
        <v>0</v>
      </c>
      <c r="E22" s="43" t="b">
        <v>0</v>
      </c>
      <c r="F22" s="1">
        <f t="shared" si="1"/>
        <v>0</v>
      </c>
    </row>
    <row r="23" spans="1:9" x14ac:dyDescent="0.45">
      <c r="A23" s="33"/>
      <c r="B23" s="6">
        <v>1</v>
      </c>
      <c r="C23" s="17" t="s">
        <v>35</v>
      </c>
      <c r="D23" s="1" t="b">
        <f t="shared" si="0"/>
        <v>0</v>
      </c>
      <c r="E23" s="43" t="b">
        <v>0</v>
      </c>
      <c r="F23" s="1">
        <f t="shared" si="1"/>
        <v>0</v>
      </c>
    </row>
    <row r="24" spans="1:9" x14ac:dyDescent="0.45">
      <c r="A24" s="33"/>
      <c r="B24" s="6">
        <v>2</v>
      </c>
      <c r="C24" s="17" t="s">
        <v>36</v>
      </c>
      <c r="D24" s="1" t="b">
        <f t="shared" si="0"/>
        <v>0</v>
      </c>
      <c r="E24" s="43" t="b">
        <v>0</v>
      </c>
      <c r="F24" s="1">
        <f t="shared" si="1"/>
        <v>0</v>
      </c>
      <c r="G24" s="2">
        <f>COUNTIF(D24:D25, TRUE)</f>
        <v>0</v>
      </c>
      <c r="H24" s="1" t="b">
        <f>G24&gt;1</f>
        <v>0</v>
      </c>
      <c r="I24" s="1" t="b">
        <f>AND(D24,H$24)</f>
        <v>0</v>
      </c>
    </row>
    <row r="25" spans="1:9" x14ac:dyDescent="0.45">
      <c r="A25" s="33"/>
      <c r="B25" s="6">
        <v>1</v>
      </c>
      <c r="C25" s="17" t="s">
        <v>37</v>
      </c>
      <c r="D25" s="1" t="b">
        <f t="shared" si="0"/>
        <v>0</v>
      </c>
      <c r="E25" s="43" t="b">
        <v>0</v>
      </c>
      <c r="F25" s="1">
        <f t="shared" si="1"/>
        <v>0</v>
      </c>
      <c r="I25" s="1" t="b">
        <f>AND(D25,H$24)</f>
        <v>0</v>
      </c>
    </row>
    <row r="26" spans="1:9" x14ac:dyDescent="0.45">
      <c r="A26" s="33"/>
      <c r="B26" s="6">
        <v>1</v>
      </c>
      <c r="C26" s="17" t="s">
        <v>540</v>
      </c>
      <c r="D26" s="1" t="b">
        <f t="shared" si="0"/>
        <v>0</v>
      </c>
      <c r="E26" s="43" t="b">
        <v>0</v>
      </c>
      <c r="F26" s="1">
        <f t="shared" si="1"/>
        <v>0</v>
      </c>
      <c r="I26" s="1" t="b">
        <v>0</v>
      </c>
    </row>
    <row r="27" spans="1:9" ht="42.75" x14ac:dyDescent="0.45">
      <c r="A27" s="33"/>
      <c r="B27" s="6">
        <v>1</v>
      </c>
      <c r="C27" s="17" t="s">
        <v>516</v>
      </c>
      <c r="D27" s="1" t="b">
        <f t="shared" si="0"/>
        <v>0</v>
      </c>
      <c r="E27" s="43" t="b">
        <v>0</v>
      </c>
      <c r="F27" s="1">
        <f t="shared" si="1"/>
        <v>0</v>
      </c>
      <c r="I27" s="1" t="b">
        <v>0</v>
      </c>
    </row>
    <row r="28" spans="1:9" x14ac:dyDescent="0.45">
      <c r="A28" s="51"/>
      <c r="B28" s="6">
        <v>0</v>
      </c>
      <c r="C28" s="17" t="s">
        <v>594</v>
      </c>
      <c r="D28" s="1" t="b">
        <f t="shared" si="0"/>
        <v>0</v>
      </c>
      <c r="E28" s="43" t="b">
        <v>0</v>
      </c>
      <c r="F28" s="1">
        <f t="shared" si="1"/>
        <v>0</v>
      </c>
      <c r="I28" s="1" t="b">
        <v>0</v>
      </c>
    </row>
    <row r="29" spans="1:9" ht="28.5" x14ac:dyDescent="0.45">
      <c r="A29" s="51"/>
      <c r="B29" s="6">
        <v>0</v>
      </c>
      <c r="C29" s="17" t="s">
        <v>360</v>
      </c>
      <c r="D29" s="1" t="b">
        <f t="shared" si="0"/>
        <v>0</v>
      </c>
      <c r="E29" s="43" t="b">
        <v>0</v>
      </c>
      <c r="F29" s="1">
        <f t="shared" si="1"/>
        <v>0</v>
      </c>
      <c r="I29" s="1" t="b">
        <v>0</v>
      </c>
    </row>
    <row r="30" spans="1:9" x14ac:dyDescent="0.45">
      <c r="A30" s="51"/>
      <c r="B30" s="6">
        <v>0</v>
      </c>
      <c r="C30" s="17" t="s">
        <v>517</v>
      </c>
      <c r="D30" s="1" t="b">
        <f t="shared" si="0"/>
        <v>0</v>
      </c>
      <c r="E30" s="43" t="b">
        <v>0</v>
      </c>
      <c r="F30" s="1">
        <f t="shared" si="1"/>
        <v>0</v>
      </c>
      <c r="I30" s="1" t="b">
        <v>0</v>
      </c>
    </row>
    <row r="31" spans="1:9" ht="28.5" x14ac:dyDescent="0.45">
      <c r="A31" s="51"/>
      <c r="B31" s="6">
        <v>0</v>
      </c>
      <c r="C31" s="17" t="s">
        <v>518</v>
      </c>
      <c r="D31" s="1" t="b">
        <f t="shared" si="0"/>
        <v>0</v>
      </c>
      <c r="E31" s="43" t="b">
        <v>0</v>
      </c>
      <c r="F31" s="1">
        <f t="shared" si="1"/>
        <v>0</v>
      </c>
      <c r="I31" s="1" t="b">
        <v>0</v>
      </c>
    </row>
    <row r="32" spans="1:9" x14ac:dyDescent="0.45">
      <c r="A32" s="51"/>
      <c r="B32" s="6">
        <v>0</v>
      </c>
      <c r="C32" s="17" t="s">
        <v>38</v>
      </c>
      <c r="D32" s="1" t="b">
        <f t="shared" si="0"/>
        <v>0</v>
      </c>
      <c r="E32" s="43" t="b">
        <v>0</v>
      </c>
      <c r="F32" s="1">
        <f t="shared" si="1"/>
        <v>0</v>
      </c>
      <c r="I32" s="1" t="b">
        <v>0</v>
      </c>
    </row>
    <row r="33" spans="1:9" x14ac:dyDescent="0.45">
      <c r="A33" s="51"/>
      <c r="B33" s="6">
        <v>0</v>
      </c>
      <c r="C33" s="17" t="s">
        <v>39</v>
      </c>
      <c r="D33" s="1" t="b">
        <f t="shared" si="0"/>
        <v>0</v>
      </c>
      <c r="E33" s="43" t="b">
        <v>0</v>
      </c>
      <c r="F33" s="1">
        <f t="shared" si="1"/>
        <v>0</v>
      </c>
      <c r="I33" s="1" t="b">
        <v>0</v>
      </c>
    </row>
    <row r="34" spans="1:9" x14ac:dyDescent="0.45">
      <c r="A34" s="51"/>
      <c r="B34" s="6">
        <v>0</v>
      </c>
      <c r="C34" s="17" t="s">
        <v>40</v>
      </c>
      <c r="D34" s="1" t="b">
        <f t="shared" si="0"/>
        <v>0</v>
      </c>
      <c r="E34" s="43" t="b">
        <v>0</v>
      </c>
      <c r="F34" s="1">
        <f t="shared" si="1"/>
        <v>0</v>
      </c>
      <c r="I34" s="1" t="b">
        <v>0</v>
      </c>
    </row>
    <row r="35" spans="1:9" x14ac:dyDescent="0.45">
      <c r="A35" s="51"/>
      <c r="B35" s="6">
        <v>0</v>
      </c>
      <c r="C35" s="17" t="s">
        <v>41</v>
      </c>
      <c r="D35" s="1" t="b">
        <f t="shared" si="0"/>
        <v>0</v>
      </c>
      <c r="E35" s="43" t="b">
        <v>0</v>
      </c>
      <c r="F35" s="1">
        <f t="shared" si="1"/>
        <v>0</v>
      </c>
      <c r="I35" s="1" t="b">
        <v>0</v>
      </c>
    </row>
    <row r="36" spans="1:9" x14ac:dyDescent="0.45">
      <c r="A36" s="51"/>
      <c r="B36" s="6">
        <v>0</v>
      </c>
      <c r="C36" s="17" t="s">
        <v>321</v>
      </c>
      <c r="D36" s="1" t="b">
        <f t="shared" si="0"/>
        <v>0</v>
      </c>
      <c r="E36" s="43" t="b">
        <v>0</v>
      </c>
      <c r="F36" s="1">
        <f t="shared" si="1"/>
        <v>0</v>
      </c>
      <c r="I36" s="1" t="b">
        <v>0</v>
      </c>
    </row>
    <row r="37" spans="1:9" ht="28.5" x14ac:dyDescent="0.45">
      <c r="A37" s="51"/>
      <c r="B37" s="6">
        <v>0</v>
      </c>
      <c r="C37" s="17" t="s">
        <v>42</v>
      </c>
      <c r="D37" s="1" t="b">
        <f t="shared" si="0"/>
        <v>0</v>
      </c>
      <c r="E37" s="43" t="b">
        <v>0</v>
      </c>
      <c r="F37" s="1">
        <f t="shared" si="1"/>
        <v>0</v>
      </c>
      <c r="I37" s="1" t="b">
        <v>0</v>
      </c>
    </row>
    <row r="38" spans="1:9" x14ac:dyDescent="0.45">
      <c r="A38" s="51"/>
      <c r="B38" s="6">
        <v>0</v>
      </c>
      <c r="C38" s="17" t="s">
        <v>336</v>
      </c>
      <c r="D38" s="1" t="b">
        <f t="shared" si="0"/>
        <v>0</v>
      </c>
      <c r="E38" s="43" t="b">
        <v>0</v>
      </c>
      <c r="F38" s="1">
        <f t="shared" si="1"/>
        <v>0</v>
      </c>
      <c r="I38" s="1" t="b">
        <v>0</v>
      </c>
    </row>
    <row r="39" spans="1:9" x14ac:dyDescent="0.45">
      <c r="A39" s="8" t="s">
        <v>20</v>
      </c>
      <c r="B39" s="9">
        <f>IF(G8, "Select Error", SUM(F9:F38))</f>
        <v>0</v>
      </c>
      <c r="C39" s="17"/>
    </row>
    <row r="40" spans="1:9" ht="14.65" thickBot="1" x14ac:dyDescent="0.5"/>
    <row r="41" spans="1:9" ht="43.15" thickBot="1" x14ac:dyDescent="0.5">
      <c r="A41" s="23" t="s">
        <v>56</v>
      </c>
      <c r="B41" s="22">
        <f>Total</f>
        <v>0</v>
      </c>
    </row>
    <row r="43" spans="1:9" ht="28.5" x14ac:dyDescent="0.45">
      <c r="A43" s="101" t="s">
        <v>105</v>
      </c>
      <c r="B43" s="101" t="s">
        <v>104</v>
      </c>
    </row>
  </sheetData>
  <sheetProtection algorithmName="SHA-512" hashValue="uZXlYfpMYZTlpe/ieFjawBbxcjI3IZtw6p+263QlAke7JrRiu20ITlHeC/zj3eWIyBH6YDK0u8VDijhxwABOOg==" saltValue="AWA5JmwR0FMmkyHpdk4qcw==" spinCount="100000" sheet="1" objects="1" scenarios="1"/>
  <mergeCells count="1">
    <mergeCell ref="A1:C1"/>
  </mergeCells>
  <conditionalFormatting sqref="B39">
    <cfRule type="expression" dxfId="118" priority="3" stopIfTrue="1">
      <formula>($G$8)</formula>
    </cfRule>
  </conditionalFormatting>
  <conditionalFormatting sqref="B9:C38">
    <cfRule type="expression" dxfId="117" priority="1">
      <formula>AND($D9,NOT($I9))</formula>
    </cfRule>
    <cfRule type="expression" dxfId="116" priority="2">
      <formula>$I9</formula>
    </cfRule>
  </conditionalFormatting>
  <dataValidations count="1">
    <dataValidation type="list" allowBlank="1" showInputMessage="1" showErrorMessage="1" sqref="A9:A38" xr:uid="{00000000-0002-0000-0500-000000000000}">
      <formula1>"TRUE,FALSE"</formula1>
    </dataValidation>
  </dataValidations>
  <hyperlinks>
    <hyperlink ref="A43" location="Drivetrain!A1" display="Go to previous sheet (Drivetrain)" xr:uid="{00000000-0004-0000-0500-000000000000}"/>
    <hyperlink ref="B43" location="Brakes!A1" display="Go to next sheet (Brakes)" xr:uid="{00000000-0004-0000-0500-000001000000}"/>
    <hyperlink ref="A3" location="Summary!A1" display="Touring Class Summary" xr:uid="{00000000-0004-0000-0500-000002000000}"/>
  </hyperlinks>
  <pageMargins left="0.7" right="0.7" top="0.75" bottom="0.75" header="0.3" footer="0.3"/>
  <pageSetup scale="64" orientation="landscape"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865" r:id="rId4" name="Check Box 361">
              <controlPr defaultSize="0" autoFill="0" autoLine="0" autoPict="0">
                <anchor moveWithCells="1">
                  <from>
                    <xdr:col>0</xdr:col>
                    <xdr:colOff>0</xdr:colOff>
                    <xdr:row>8</xdr:row>
                    <xdr:rowOff>0</xdr:rowOff>
                  </from>
                  <to>
                    <xdr:col>3</xdr:col>
                    <xdr:colOff>0</xdr:colOff>
                    <xdr:row>9</xdr:row>
                    <xdr:rowOff>28575</xdr:rowOff>
                  </to>
                </anchor>
              </controlPr>
            </control>
          </mc:Choice>
        </mc:AlternateContent>
        <mc:AlternateContent xmlns:mc="http://schemas.openxmlformats.org/markup-compatibility/2006">
          <mc:Choice Requires="x14">
            <control shapeId="21866" r:id="rId5" name="Check Box 362">
              <controlPr defaultSize="0" autoFill="0" autoLine="0" autoPict="0">
                <anchor moveWithCells="1">
                  <from>
                    <xdr:col>0</xdr:col>
                    <xdr:colOff>0</xdr:colOff>
                    <xdr:row>9</xdr:row>
                    <xdr:rowOff>0</xdr:rowOff>
                  </from>
                  <to>
                    <xdr:col>3</xdr:col>
                    <xdr:colOff>0</xdr:colOff>
                    <xdr:row>10</xdr:row>
                    <xdr:rowOff>28575</xdr:rowOff>
                  </to>
                </anchor>
              </controlPr>
            </control>
          </mc:Choice>
        </mc:AlternateContent>
        <mc:AlternateContent xmlns:mc="http://schemas.openxmlformats.org/markup-compatibility/2006">
          <mc:Choice Requires="x14">
            <control shapeId="21867" r:id="rId6" name="Check Box 363">
              <controlPr defaultSize="0" autoFill="0" autoLine="0" autoPict="0">
                <anchor moveWithCells="1">
                  <from>
                    <xdr:col>0</xdr:col>
                    <xdr:colOff>0</xdr:colOff>
                    <xdr:row>10</xdr:row>
                    <xdr:rowOff>0</xdr:rowOff>
                  </from>
                  <to>
                    <xdr:col>3</xdr:col>
                    <xdr:colOff>0</xdr:colOff>
                    <xdr:row>11</xdr:row>
                    <xdr:rowOff>28575</xdr:rowOff>
                  </to>
                </anchor>
              </controlPr>
            </control>
          </mc:Choice>
        </mc:AlternateContent>
        <mc:AlternateContent xmlns:mc="http://schemas.openxmlformats.org/markup-compatibility/2006">
          <mc:Choice Requires="x14">
            <control shapeId="21868" r:id="rId7" name="Check Box 364">
              <controlPr defaultSize="0" autoFill="0" autoLine="0" autoPict="0">
                <anchor moveWithCells="1">
                  <from>
                    <xdr:col>0</xdr:col>
                    <xdr:colOff>0</xdr:colOff>
                    <xdr:row>11</xdr:row>
                    <xdr:rowOff>0</xdr:rowOff>
                  </from>
                  <to>
                    <xdr:col>3</xdr:col>
                    <xdr:colOff>0</xdr:colOff>
                    <xdr:row>12</xdr:row>
                    <xdr:rowOff>28575</xdr:rowOff>
                  </to>
                </anchor>
              </controlPr>
            </control>
          </mc:Choice>
        </mc:AlternateContent>
        <mc:AlternateContent xmlns:mc="http://schemas.openxmlformats.org/markup-compatibility/2006">
          <mc:Choice Requires="x14">
            <control shapeId="21869" r:id="rId8" name="Check Box 365">
              <controlPr defaultSize="0" autoFill="0" autoLine="0" autoPict="0">
                <anchor moveWithCells="1">
                  <from>
                    <xdr:col>0</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21870" r:id="rId9" name="Check Box 366">
              <controlPr defaultSize="0" autoFill="0" autoLine="0" autoPict="0">
                <anchor moveWithCells="1">
                  <from>
                    <xdr:col>0</xdr:col>
                    <xdr:colOff>0</xdr:colOff>
                    <xdr:row>13</xdr:row>
                    <xdr:rowOff>0</xdr:rowOff>
                  </from>
                  <to>
                    <xdr:col>3</xdr:col>
                    <xdr:colOff>0</xdr:colOff>
                    <xdr:row>14</xdr:row>
                    <xdr:rowOff>28575</xdr:rowOff>
                  </to>
                </anchor>
              </controlPr>
            </control>
          </mc:Choice>
        </mc:AlternateContent>
        <mc:AlternateContent xmlns:mc="http://schemas.openxmlformats.org/markup-compatibility/2006">
          <mc:Choice Requires="x14">
            <control shapeId="21871" r:id="rId10" name="Check Box 367">
              <controlPr defaultSize="0" autoFill="0" autoLine="0" autoPict="0">
                <anchor moveWithCells="1">
                  <from>
                    <xdr:col>0</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21872" r:id="rId11" name="Check Box 368">
              <controlPr defaultSize="0" autoFill="0" autoLine="0" autoPict="0">
                <anchor moveWithCells="1">
                  <from>
                    <xdr:col>0</xdr:col>
                    <xdr:colOff>0</xdr:colOff>
                    <xdr:row>15</xdr:row>
                    <xdr:rowOff>0</xdr:rowOff>
                  </from>
                  <to>
                    <xdr:col>3</xdr:col>
                    <xdr:colOff>0</xdr:colOff>
                    <xdr:row>16</xdr:row>
                    <xdr:rowOff>28575</xdr:rowOff>
                  </to>
                </anchor>
              </controlPr>
            </control>
          </mc:Choice>
        </mc:AlternateContent>
        <mc:AlternateContent xmlns:mc="http://schemas.openxmlformats.org/markup-compatibility/2006">
          <mc:Choice Requires="x14">
            <control shapeId="21873" r:id="rId12" name="Check Box 369">
              <controlPr defaultSize="0" autoFill="0" autoLine="0" autoPict="0">
                <anchor moveWithCells="1">
                  <from>
                    <xdr:col>0</xdr:col>
                    <xdr:colOff>0</xdr:colOff>
                    <xdr:row>16</xdr:row>
                    <xdr:rowOff>0</xdr:rowOff>
                  </from>
                  <to>
                    <xdr:col>3</xdr:col>
                    <xdr:colOff>0</xdr:colOff>
                    <xdr:row>17</xdr:row>
                    <xdr:rowOff>28575</xdr:rowOff>
                  </to>
                </anchor>
              </controlPr>
            </control>
          </mc:Choice>
        </mc:AlternateContent>
        <mc:AlternateContent xmlns:mc="http://schemas.openxmlformats.org/markup-compatibility/2006">
          <mc:Choice Requires="x14">
            <control shapeId="21874" r:id="rId13" name="Check Box 370">
              <controlPr defaultSize="0" autoFill="0" autoLine="0" autoPict="0">
                <anchor moveWithCells="1">
                  <from>
                    <xdr:col>0</xdr:col>
                    <xdr:colOff>0</xdr:colOff>
                    <xdr:row>17</xdr:row>
                    <xdr:rowOff>0</xdr:rowOff>
                  </from>
                  <to>
                    <xdr:col>3</xdr:col>
                    <xdr:colOff>0</xdr:colOff>
                    <xdr:row>18</xdr:row>
                    <xdr:rowOff>28575</xdr:rowOff>
                  </to>
                </anchor>
              </controlPr>
            </control>
          </mc:Choice>
        </mc:AlternateContent>
        <mc:AlternateContent xmlns:mc="http://schemas.openxmlformats.org/markup-compatibility/2006">
          <mc:Choice Requires="x14">
            <control shapeId="21875" r:id="rId14" name="Check Box 371">
              <controlPr defaultSize="0" autoFill="0" autoLine="0" autoPict="0">
                <anchor moveWithCells="1">
                  <from>
                    <xdr:col>0</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1876" r:id="rId15" name="Check Box 372">
              <controlPr defaultSize="0" autoFill="0" autoLine="0" autoPict="0">
                <anchor moveWithCells="1">
                  <from>
                    <xdr:col>0</xdr:col>
                    <xdr:colOff>0</xdr:colOff>
                    <xdr:row>19</xdr:row>
                    <xdr:rowOff>0</xdr:rowOff>
                  </from>
                  <to>
                    <xdr:col>3</xdr:col>
                    <xdr:colOff>0</xdr:colOff>
                    <xdr:row>20</xdr:row>
                    <xdr:rowOff>28575</xdr:rowOff>
                  </to>
                </anchor>
              </controlPr>
            </control>
          </mc:Choice>
        </mc:AlternateContent>
        <mc:AlternateContent xmlns:mc="http://schemas.openxmlformats.org/markup-compatibility/2006">
          <mc:Choice Requires="x14">
            <control shapeId="21877" r:id="rId16" name="Check Box 373">
              <controlPr defaultSize="0" autoFill="0" autoLine="0" autoPict="0">
                <anchor moveWithCells="1">
                  <from>
                    <xdr:col>0</xdr:col>
                    <xdr:colOff>0</xdr:colOff>
                    <xdr:row>20</xdr:row>
                    <xdr:rowOff>0</xdr:rowOff>
                  </from>
                  <to>
                    <xdr:col>3</xdr:col>
                    <xdr:colOff>0</xdr:colOff>
                    <xdr:row>21</xdr:row>
                    <xdr:rowOff>28575</xdr:rowOff>
                  </to>
                </anchor>
              </controlPr>
            </control>
          </mc:Choice>
        </mc:AlternateContent>
        <mc:AlternateContent xmlns:mc="http://schemas.openxmlformats.org/markup-compatibility/2006">
          <mc:Choice Requires="x14">
            <control shapeId="21878" r:id="rId17" name="Check Box 374">
              <controlPr defaultSize="0" autoFill="0" autoLine="0" autoPict="0">
                <anchor moveWithCells="1">
                  <from>
                    <xdr:col>0</xdr:col>
                    <xdr:colOff>0</xdr:colOff>
                    <xdr:row>21</xdr:row>
                    <xdr:rowOff>0</xdr:rowOff>
                  </from>
                  <to>
                    <xdr:col>3</xdr:col>
                    <xdr:colOff>0</xdr:colOff>
                    <xdr:row>22</xdr:row>
                    <xdr:rowOff>28575</xdr:rowOff>
                  </to>
                </anchor>
              </controlPr>
            </control>
          </mc:Choice>
        </mc:AlternateContent>
        <mc:AlternateContent xmlns:mc="http://schemas.openxmlformats.org/markup-compatibility/2006">
          <mc:Choice Requires="x14">
            <control shapeId="21879" r:id="rId18" name="Check Box 375">
              <controlPr defaultSize="0" autoFill="0" autoLine="0" autoPict="0">
                <anchor moveWithCells="1">
                  <from>
                    <xdr:col>0</xdr:col>
                    <xdr:colOff>0</xdr:colOff>
                    <xdr:row>22</xdr:row>
                    <xdr:rowOff>0</xdr:rowOff>
                  </from>
                  <to>
                    <xdr:col>3</xdr:col>
                    <xdr:colOff>0</xdr:colOff>
                    <xdr:row>23</xdr:row>
                    <xdr:rowOff>28575</xdr:rowOff>
                  </to>
                </anchor>
              </controlPr>
            </control>
          </mc:Choice>
        </mc:AlternateContent>
        <mc:AlternateContent xmlns:mc="http://schemas.openxmlformats.org/markup-compatibility/2006">
          <mc:Choice Requires="x14">
            <control shapeId="21880" r:id="rId19" name="Check Box 376">
              <controlPr defaultSize="0" autoFill="0" autoLine="0" autoPict="0">
                <anchor moveWithCells="1">
                  <from>
                    <xdr:col>0</xdr:col>
                    <xdr:colOff>0</xdr:colOff>
                    <xdr:row>23</xdr:row>
                    <xdr:rowOff>0</xdr:rowOff>
                  </from>
                  <to>
                    <xdr:col>3</xdr:col>
                    <xdr:colOff>0</xdr:colOff>
                    <xdr:row>24</xdr:row>
                    <xdr:rowOff>28575</xdr:rowOff>
                  </to>
                </anchor>
              </controlPr>
            </control>
          </mc:Choice>
        </mc:AlternateContent>
        <mc:AlternateContent xmlns:mc="http://schemas.openxmlformats.org/markup-compatibility/2006">
          <mc:Choice Requires="x14">
            <control shapeId="21881" r:id="rId20" name="Check Box 377">
              <controlPr defaultSize="0" autoFill="0" autoLine="0" autoPict="0">
                <anchor moveWithCells="1">
                  <from>
                    <xdr:col>0</xdr:col>
                    <xdr:colOff>0</xdr:colOff>
                    <xdr:row>24</xdr:row>
                    <xdr:rowOff>0</xdr:rowOff>
                  </from>
                  <to>
                    <xdr:col>3</xdr:col>
                    <xdr:colOff>0</xdr:colOff>
                    <xdr:row>25</xdr:row>
                    <xdr:rowOff>28575</xdr:rowOff>
                  </to>
                </anchor>
              </controlPr>
            </control>
          </mc:Choice>
        </mc:AlternateContent>
        <mc:AlternateContent xmlns:mc="http://schemas.openxmlformats.org/markup-compatibility/2006">
          <mc:Choice Requires="x14">
            <control shapeId="21882" r:id="rId21" name="Check Box 378">
              <controlPr defaultSize="0" autoFill="0" autoLine="0" autoPict="0">
                <anchor moveWithCells="1">
                  <from>
                    <xdr:col>0</xdr:col>
                    <xdr:colOff>0</xdr:colOff>
                    <xdr:row>25</xdr:row>
                    <xdr:rowOff>0</xdr:rowOff>
                  </from>
                  <to>
                    <xdr:col>3</xdr:col>
                    <xdr:colOff>0</xdr:colOff>
                    <xdr:row>26</xdr:row>
                    <xdr:rowOff>28575</xdr:rowOff>
                  </to>
                </anchor>
              </controlPr>
            </control>
          </mc:Choice>
        </mc:AlternateContent>
        <mc:AlternateContent xmlns:mc="http://schemas.openxmlformats.org/markup-compatibility/2006">
          <mc:Choice Requires="x14">
            <control shapeId="21883" r:id="rId22" name="Check Box 379">
              <controlPr defaultSize="0" autoFill="0" autoLine="0" autoPict="0">
                <anchor moveWithCells="1">
                  <from>
                    <xdr:col>0</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1884" r:id="rId23" name="Check Box 380">
              <controlPr defaultSize="0" autoFill="0" autoLine="0" autoPict="0">
                <anchor moveWithCells="1">
                  <from>
                    <xdr:col>0</xdr:col>
                    <xdr:colOff>0</xdr:colOff>
                    <xdr:row>27</xdr:row>
                    <xdr:rowOff>0</xdr:rowOff>
                  </from>
                  <to>
                    <xdr:col>3</xdr:col>
                    <xdr:colOff>0</xdr:colOff>
                    <xdr:row>28</xdr:row>
                    <xdr:rowOff>28575</xdr:rowOff>
                  </to>
                </anchor>
              </controlPr>
            </control>
          </mc:Choice>
        </mc:AlternateContent>
        <mc:AlternateContent xmlns:mc="http://schemas.openxmlformats.org/markup-compatibility/2006">
          <mc:Choice Requires="x14">
            <control shapeId="21885" r:id="rId24" name="Check Box 381">
              <controlPr defaultSize="0" autoFill="0" autoLine="0" autoPict="0">
                <anchor moveWithCells="1">
                  <from>
                    <xdr:col>0</xdr:col>
                    <xdr:colOff>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21886" r:id="rId25" name="Check Box 382">
              <controlPr defaultSize="0" autoFill="0" autoLine="0" autoPict="0">
                <anchor moveWithCells="1">
                  <from>
                    <xdr:col>0</xdr:col>
                    <xdr:colOff>0</xdr:colOff>
                    <xdr:row>29</xdr:row>
                    <xdr:rowOff>0</xdr:rowOff>
                  </from>
                  <to>
                    <xdr:col>3</xdr:col>
                    <xdr:colOff>0</xdr:colOff>
                    <xdr:row>30</xdr:row>
                    <xdr:rowOff>28575</xdr:rowOff>
                  </to>
                </anchor>
              </controlPr>
            </control>
          </mc:Choice>
        </mc:AlternateContent>
        <mc:AlternateContent xmlns:mc="http://schemas.openxmlformats.org/markup-compatibility/2006">
          <mc:Choice Requires="x14">
            <control shapeId="21887" r:id="rId26" name="Check Box 383">
              <controlPr defaultSize="0" autoFill="0" autoLine="0" autoPict="0">
                <anchor moveWithCells="1">
                  <from>
                    <xdr:col>0</xdr:col>
                    <xdr:colOff>0</xdr:colOff>
                    <xdr:row>30</xdr:row>
                    <xdr:rowOff>0</xdr:rowOff>
                  </from>
                  <to>
                    <xdr:col>3</xdr:col>
                    <xdr:colOff>0</xdr:colOff>
                    <xdr:row>30</xdr:row>
                    <xdr:rowOff>361950</xdr:rowOff>
                  </to>
                </anchor>
              </controlPr>
            </control>
          </mc:Choice>
        </mc:AlternateContent>
        <mc:AlternateContent xmlns:mc="http://schemas.openxmlformats.org/markup-compatibility/2006">
          <mc:Choice Requires="x14">
            <control shapeId="21888" r:id="rId27" name="Check Box 384">
              <controlPr defaultSize="0" autoFill="0" autoLine="0" autoPict="0">
                <anchor moveWithCells="1">
                  <from>
                    <xdr:col>0</xdr:col>
                    <xdr:colOff>0</xdr:colOff>
                    <xdr:row>31</xdr:row>
                    <xdr:rowOff>0</xdr:rowOff>
                  </from>
                  <to>
                    <xdr:col>3</xdr:col>
                    <xdr:colOff>0</xdr:colOff>
                    <xdr:row>32</xdr:row>
                    <xdr:rowOff>28575</xdr:rowOff>
                  </to>
                </anchor>
              </controlPr>
            </control>
          </mc:Choice>
        </mc:AlternateContent>
        <mc:AlternateContent xmlns:mc="http://schemas.openxmlformats.org/markup-compatibility/2006">
          <mc:Choice Requires="x14">
            <control shapeId="21889" r:id="rId28" name="Check Box 385">
              <controlPr defaultSize="0" autoFill="0" autoLine="0" autoPict="0">
                <anchor moveWithCells="1">
                  <from>
                    <xdr:col>0</xdr:col>
                    <xdr:colOff>0</xdr:colOff>
                    <xdr:row>32</xdr:row>
                    <xdr:rowOff>0</xdr:rowOff>
                  </from>
                  <to>
                    <xdr:col>3</xdr:col>
                    <xdr:colOff>0</xdr:colOff>
                    <xdr:row>33</xdr:row>
                    <xdr:rowOff>28575</xdr:rowOff>
                  </to>
                </anchor>
              </controlPr>
            </control>
          </mc:Choice>
        </mc:AlternateContent>
        <mc:AlternateContent xmlns:mc="http://schemas.openxmlformats.org/markup-compatibility/2006">
          <mc:Choice Requires="x14">
            <control shapeId="21890" r:id="rId29" name="Check Box 386">
              <controlPr defaultSize="0" autoFill="0" autoLine="0" autoPict="0">
                <anchor moveWithCells="1">
                  <from>
                    <xdr:col>0</xdr:col>
                    <xdr:colOff>0</xdr:colOff>
                    <xdr:row>33</xdr:row>
                    <xdr:rowOff>0</xdr:rowOff>
                  </from>
                  <to>
                    <xdr:col>3</xdr:col>
                    <xdr:colOff>0</xdr:colOff>
                    <xdr:row>34</xdr:row>
                    <xdr:rowOff>28575</xdr:rowOff>
                  </to>
                </anchor>
              </controlPr>
            </control>
          </mc:Choice>
        </mc:AlternateContent>
        <mc:AlternateContent xmlns:mc="http://schemas.openxmlformats.org/markup-compatibility/2006">
          <mc:Choice Requires="x14">
            <control shapeId="21891" r:id="rId30" name="Check Box 387">
              <controlPr defaultSize="0" autoFill="0" autoLine="0" autoPict="0">
                <anchor moveWithCells="1">
                  <from>
                    <xdr:col>0</xdr:col>
                    <xdr:colOff>0</xdr:colOff>
                    <xdr:row>34</xdr:row>
                    <xdr:rowOff>0</xdr:rowOff>
                  </from>
                  <to>
                    <xdr:col>3</xdr:col>
                    <xdr:colOff>0</xdr:colOff>
                    <xdr:row>35</xdr:row>
                    <xdr:rowOff>28575</xdr:rowOff>
                  </to>
                </anchor>
              </controlPr>
            </control>
          </mc:Choice>
        </mc:AlternateContent>
        <mc:AlternateContent xmlns:mc="http://schemas.openxmlformats.org/markup-compatibility/2006">
          <mc:Choice Requires="x14">
            <control shapeId="21892" r:id="rId31" name="Check Box 388">
              <controlPr defaultSize="0" autoFill="0" autoLine="0" autoPict="0">
                <anchor moveWithCells="1">
                  <from>
                    <xdr:col>0</xdr:col>
                    <xdr:colOff>0</xdr:colOff>
                    <xdr:row>35</xdr:row>
                    <xdr:rowOff>0</xdr:rowOff>
                  </from>
                  <to>
                    <xdr:col>3</xdr:col>
                    <xdr:colOff>0</xdr:colOff>
                    <xdr:row>36</xdr:row>
                    <xdr:rowOff>28575</xdr:rowOff>
                  </to>
                </anchor>
              </controlPr>
            </control>
          </mc:Choice>
        </mc:AlternateContent>
        <mc:AlternateContent xmlns:mc="http://schemas.openxmlformats.org/markup-compatibility/2006">
          <mc:Choice Requires="x14">
            <control shapeId="21893" r:id="rId32" name="Check Box 389">
              <controlPr defaultSize="0" autoFill="0" autoLine="0" autoPict="0">
                <anchor moveWithCells="1">
                  <from>
                    <xdr:col>0</xdr:col>
                    <xdr:colOff>0</xdr:colOff>
                    <xdr:row>36</xdr:row>
                    <xdr:rowOff>0</xdr:rowOff>
                  </from>
                  <to>
                    <xdr:col>3</xdr:col>
                    <xdr:colOff>0</xdr:colOff>
                    <xdr:row>37</xdr:row>
                    <xdr:rowOff>0</xdr:rowOff>
                  </to>
                </anchor>
              </controlPr>
            </control>
          </mc:Choice>
        </mc:AlternateContent>
        <mc:AlternateContent xmlns:mc="http://schemas.openxmlformats.org/markup-compatibility/2006">
          <mc:Choice Requires="x14">
            <control shapeId="21894" r:id="rId33" name="Check Box 390">
              <controlPr defaultSize="0" autoFill="0" autoLine="0" autoPict="0">
                <anchor moveWithCells="1">
                  <from>
                    <xdr:col>0</xdr:col>
                    <xdr:colOff>0</xdr:colOff>
                    <xdr:row>37</xdr:row>
                    <xdr:rowOff>0</xdr:rowOff>
                  </from>
                  <to>
                    <xdr:col>3</xdr:col>
                    <xdr:colOff>0</xdr:colOff>
                    <xdr:row>38</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I24"/>
  <sheetViews>
    <sheetView workbookViewId="0">
      <selection sqref="A1:C1"/>
    </sheetView>
  </sheetViews>
  <sheetFormatPr defaultColWidth="9.1328125" defaultRowHeight="14.25" x14ac:dyDescent="0.45"/>
  <cols>
    <col min="1" max="1" width="15.59765625" style="1" customWidth="1"/>
    <col min="2" max="2" width="12.73046875" style="1" bestFit="1" customWidth="1"/>
    <col min="3" max="3" width="101.59765625" style="2" customWidth="1"/>
    <col min="4" max="9" width="9.1328125" style="1" hidden="1" customWidth="1"/>
    <col min="10" max="16384" width="9.1328125" style="1"/>
  </cols>
  <sheetData>
    <row r="1" spans="1:9" ht="18" x14ac:dyDescent="0.55000000000000004">
      <c r="A1" s="194" t="str">
        <f>CONCATENATE(Title, " ", Version)</f>
        <v>COMSCC 2025 v13.2</v>
      </c>
      <c r="B1" s="194"/>
      <c r="C1" s="194"/>
      <c r="D1" s="34"/>
      <c r="E1" s="34"/>
      <c r="F1" s="34"/>
    </row>
    <row r="3" spans="1:9" ht="28.5" x14ac:dyDescent="0.45">
      <c r="A3" s="101" t="s">
        <v>100</v>
      </c>
    </row>
    <row r="5" spans="1:9" x14ac:dyDescent="0.45">
      <c r="A5" s="24" t="s">
        <v>58</v>
      </c>
    </row>
    <row r="6" spans="1:9" x14ac:dyDescent="0.45">
      <c r="A6" s="3" t="s">
        <v>447</v>
      </c>
    </row>
    <row r="8" spans="1:9" x14ac:dyDescent="0.45">
      <c r="A8" s="19" t="s">
        <v>633</v>
      </c>
      <c r="B8" s="11" t="s">
        <v>0</v>
      </c>
      <c r="C8" s="19" t="s">
        <v>1</v>
      </c>
    </row>
    <row r="9" spans="1:9" x14ac:dyDescent="0.45">
      <c r="A9" s="33"/>
      <c r="B9" s="6">
        <v>1</v>
      </c>
      <c r="C9" s="17" t="s">
        <v>505</v>
      </c>
      <c r="D9" s="1" t="b">
        <f>OR(E9,A9)</f>
        <v>0</v>
      </c>
      <c r="E9" s="43" t="b">
        <v>0</v>
      </c>
      <c r="F9" s="1">
        <f>IF(D9, B9, 0)</f>
        <v>0</v>
      </c>
      <c r="I9" s="1" t="b">
        <v>0</v>
      </c>
    </row>
    <row r="10" spans="1:9" x14ac:dyDescent="0.45">
      <c r="A10" s="33"/>
      <c r="B10" s="6">
        <v>2</v>
      </c>
      <c r="C10" s="17" t="s">
        <v>437</v>
      </c>
      <c r="D10" s="1" t="b">
        <f>OR(E10,A10)</f>
        <v>0</v>
      </c>
      <c r="E10" s="43" t="b">
        <v>0</v>
      </c>
      <c r="F10" s="1">
        <f>IF(D10, B10, 0)</f>
        <v>0</v>
      </c>
      <c r="G10" s="1">
        <f>COUNTIF(D10:D11, TRUE)</f>
        <v>0</v>
      </c>
      <c r="H10" s="1" t="b">
        <f>G10&gt;1</f>
        <v>0</v>
      </c>
      <c r="I10" s="1" t="b">
        <f>AND(D10,H$10)</f>
        <v>0</v>
      </c>
    </row>
    <row r="11" spans="1:9" ht="15" customHeight="1" x14ac:dyDescent="0.45">
      <c r="A11" s="33"/>
      <c r="B11" s="6">
        <v>-1</v>
      </c>
      <c r="C11" s="17" t="s">
        <v>534</v>
      </c>
      <c r="D11" s="1" t="b">
        <f t="shared" ref="D11:D19" si="0">OR(E11,A11)</f>
        <v>0</v>
      </c>
      <c r="E11" s="43" t="b">
        <v>0</v>
      </c>
      <c r="F11" s="1">
        <f t="shared" ref="F11:F19" si="1">IF(D11, B11, 0)</f>
        <v>0</v>
      </c>
      <c r="I11" s="1" t="b">
        <f>AND(D11,H$10)</f>
        <v>0</v>
      </c>
    </row>
    <row r="12" spans="1:9" x14ac:dyDescent="0.45">
      <c r="A12" s="51"/>
      <c r="B12" s="6">
        <v>0</v>
      </c>
      <c r="C12" s="17" t="s">
        <v>44</v>
      </c>
      <c r="D12" s="1" t="b">
        <f t="shared" si="0"/>
        <v>0</v>
      </c>
      <c r="E12" s="43" t="b">
        <v>0</v>
      </c>
      <c r="F12" s="1">
        <f t="shared" si="1"/>
        <v>0</v>
      </c>
      <c r="I12" s="1" t="b">
        <v>0</v>
      </c>
    </row>
    <row r="13" spans="1:9" ht="28.5" x14ac:dyDescent="0.45">
      <c r="A13" s="51"/>
      <c r="B13" s="6">
        <v>0</v>
      </c>
      <c r="C13" s="17" t="s">
        <v>509</v>
      </c>
      <c r="D13" s="1" t="b">
        <f t="shared" si="0"/>
        <v>0</v>
      </c>
      <c r="E13" s="43" t="b">
        <v>0</v>
      </c>
      <c r="F13" s="1">
        <f t="shared" si="1"/>
        <v>0</v>
      </c>
      <c r="I13" s="1" t="b">
        <v>0</v>
      </c>
    </row>
    <row r="14" spans="1:9" x14ac:dyDescent="0.45">
      <c r="A14" s="51"/>
      <c r="B14" s="6">
        <v>0</v>
      </c>
      <c r="C14" s="17" t="s">
        <v>436</v>
      </c>
      <c r="D14" s="1" t="b">
        <f t="shared" si="0"/>
        <v>0</v>
      </c>
      <c r="E14" s="43" t="b">
        <v>0</v>
      </c>
      <c r="F14" s="1">
        <f t="shared" si="1"/>
        <v>0</v>
      </c>
      <c r="I14" s="1" t="b">
        <v>0</v>
      </c>
    </row>
    <row r="15" spans="1:9" x14ac:dyDescent="0.45">
      <c r="A15" s="51"/>
      <c r="B15" s="6">
        <v>0</v>
      </c>
      <c r="C15" s="17" t="s">
        <v>57</v>
      </c>
      <c r="D15" s="1" t="b">
        <f t="shared" si="0"/>
        <v>0</v>
      </c>
      <c r="E15" s="43" t="b">
        <v>0</v>
      </c>
      <c r="F15" s="1">
        <f t="shared" si="1"/>
        <v>0</v>
      </c>
      <c r="I15" s="1" t="b">
        <v>0</v>
      </c>
    </row>
    <row r="16" spans="1:9" x14ac:dyDescent="0.45">
      <c r="A16" s="51"/>
      <c r="B16" s="6">
        <v>0</v>
      </c>
      <c r="C16" s="17" t="s">
        <v>322</v>
      </c>
      <c r="D16" s="1" t="b">
        <f t="shared" si="0"/>
        <v>0</v>
      </c>
      <c r="E16" s="43" t="b">
        <v>0</v>
      </c>
      <c r="F16" s="1">
        <f t="shared" si="1"/>
        <v>0</v>
      </c>
      <c r="I16" s="1" t="b">
        <v>0</v>
      </c>
    </row>
    <row r="17" spans="1:9" x14ac:dyDescent="0.45">
      <c r="A17" s="51"/>
      <c r="B17" s="6">
        <v>0</v>
      </c>
      <c r="C17" s="17" t="s">
        <v>484</v>
      </c>
      <c r="D17" s="1" t="b">
        <f t="shared" si="0"/>
        <v>0</v>
      </c>
      <c r="E17" s="43" t="b">
        <v>0</v>
      </c>
      <c r="F17" s="1">
        <f t="shared" si="1"/>
        <v>0</v>
      </c>
      <c r="I17" s="1" t="b">
        <v>0</v>
      </c>
    </row>
    <row r="18" spans="1:9" x14ac:dyDescent="0.45">
      <c r="A18" s="51"/>
      <c r="B18" s="6">
        <v>0</v>
      </c>
      <c r="C18" s="17" t="s">
        <v>361</v>
      </c>
      <c r="D18" s="1" t="b">
        <f t="shared" si="0"/>
        <v>0</v>
      </c>
      <c r="E18" s="43" t="b">
        <v>0</v>
      </c>
      <c r="F18" s="1">
        <f t="shared" si="1"/>
        <v>0</v>
      </c>
      <c r="I18" s="1" t="b">
        <v>0</v>
      </c>
    </row>
    <row r="19" spans="1:9" x14ac:dyDescent="0.45">
      <c r="A19" s="51"/>
      <c r="B19" s="6">
        <v>0</v>
      </c>
      <c r="C19" s="17" t="s">
        <v>435</v>
      </c>
      <c r="D19" s="1" t="b">
        <f t="shared" si="0"/>
        <v>0</v>
      </c>
      <c r="E19" s="43" t="b">
        <v>0</v>
      </c>
      <c r="F19" s="1">
        <f t="shared" si="1"/>
        <v>0</v>
      </c>
      <c r="I19" s="1" t="b">
        <v>0</v>
      </c>
    </row>
    <row r="20" spans="1:9" x14ac:dyDescent="0.45">
      <c r="A20" s="8" t="s">
        <v>20</v>
      </c>
      <c r="B20" s="9">
        <f>SUM(F9:F19)</f>
        <v>0</v>
      </c>
      <c r="C20" s="17"/>
    </row>
    <row r="21" spans="1:9" ht="14.65" thickBot="1" x14ac:dyDescent="0.5"/>
    <row r="22" spans="1:9" ht="43.15" thickBot="1" x14ac:dyDescent="0.5">
      <c r="A22" s="23" t="s">
        <v>338</v>
      </c>
      <c r="B22" s="22">
        <f>Total</f>
        <v>0</v>
      </c>
    </row>
    <row r="24" spans="1:9" ht="42.75" x14ac:dyDescent="0.45">
      <c r="A24" s="101" t="s">
        <v>106</v>
      </c>
      <c r="B24" s="101" t="s">
        <v>107</v>
      </c>
    </row>
  </sheetData>
  <sheetProtection algorithmName="SHA-512" hashValue="dvFKXo/4Q9nSD6jD95sFX2HmRuVHfIzp/u4kL5IhG/1cFt4PKK0i1LezRNNcXezNvRRH/pmqogHzwk8a7kk2hQ==" saltValue="5WN6gEZia9xhvbF2oA9cPQ==" spinCount="100000" sheet="1" objects="1" scenarios="1"/>
  <mergeCells count="1">
    <mergeCell ref="A1:C1"/>
  </mergeCells>
  <conditionalFormatting sqref="B20">
    <cfRule type="expression" dxfId="115" priority="3" stopIfTrue="1">
      <formula>($G$8)</formula>
    </cfRule>
  </conditionalFormatting>
  <conditionalFormatting sqref="B9:C19">
    <cfRule type="expression" dxfId="114" priority="1">
      <formula>AND($D9,NOT($I9))</formula>
    </cfRule>
    <cfRule type="expression" dxfId="113" priority="2">
      <formula>$I9</formula>
    </cfRule>
  </conditionalFormatting>
  <dataValidations count="1">
    <dataValidation type="list" allowBlank="1" showInputMessage="1" showErrorMessage="1" sqref="A9:A19" xr:uid="{00000000-0002-0000-0600-000000000000}">
      <formula1>"TRUE,FALSE"</formula1>
    </dataValidation>
  </dataValidations>
  <hyperlinks>
    <hyperlink ref="B24" location="Exterior!A1" display="Go to next sheet (Exterior)" xr:uid="{00000000-0004-0000-0600-000000000000}"/>
    <hyperlink ref="A24" location="Suspension!A1" display="Go to previous sheet (Suspension)" xr:uid="{00000000-0004-0000-0600-000001000000}"/>
    <hyperlink ref="A3" location="Summary!A1" display="Touring Class Summary" xr:uid="{00000000-0004-0000-0600-000002000000}"/>
  </hyperlinks>
  <pageMargins left="0.7" right="0.7" top="0.75" bottom="0.75" header="0.3" footer="0.3"/>
  <pageSetup scale="94" orientation="landscape"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403" r:id="rId4" name="Check Box 11">
              <controlPr defaultSize="0" autoFill="0" autoLine="0" autoPict="0">
                <anchor moveWithCells="1">
                  <from>
                    <xdr:col>0</xdr:col>
                    <xdr:colOff>0</xdr:colOff>
                    <xdr:row>8</xdr:row>
                    <xdr:rowOff>0</xdr:rowOff>
                  </from>
                  <to>
                    <xdr:col>3</xdr:col>
                    <xdr:colOff>0</xdr:colOff>
                    <xdr:row>9</xdr:row>
                    <xdr:rowOff>19050</xdr:rowOff>
                  </to>
                </anchor>
              </controlPr>
            </control>
          </mc:Choice>
        </mc:AlternateContent>
        <mc:AlternateContent xmlns:mc="http://schemas.openxmlformats.org/markup-compatibility/2006">
          <mc:Choice Requires="x14">
            <control shapeId="59404" r:id="rId5" name="Check Box 12">
              <controlPr defaultSize="0" autoFill="0" autoLine="0" autoPict="0">
                <anchor moveWithCells="1">
                  <from>
                    <xdr:col>0</xdr:col>
                    <xdr:colOff>0</xdr:colOff>
                    <xdr:row>9</xdr:row>
                    <xdr:rowOff>0</xdr:rowOff>
                  </from>
                  <to>
                    <xdr:col>3</xdr:col>
                    <xdr:colOff>0</xdr:colOff>
                    <xdr:row>10</xdr:row>
                    <xdr:rowOff>19050</xdr:rowOff>
                  </to>
                </anchor>
              </controlPr>
            </control>
          </mc:Choice>
        </mc:AlternateContent>
        <mc:AlternateContent xmlns:mc="http://schemas.openxmlformats.org/markup-compatibility/2006">
          <mc:Choice Requires="x14">
            <control shapeId="59405" r:id="rId6" name="Check Box 13">
              <controlPr defaultSize="0" autoFill="0" autoLine="0" autoPict="0">
                <anchor moveWithCells="1">
                  <from>
                    <xdr:col>0</xdr:col>
                    <xdr:colOff>0</xdr:colOff>
                    <xdr:row>10</xdr:row>
                    <xdr:rowOff>0</xdr:rowOff>
                  </from>
                  <to>
                    <xdr:col>3</xdr:col>
                    <xdr:colOff>0</xdr:colOff>
                    <xdr:row>11</xdr:row>
                    <xdr:rowOff>19050</xdr:rowOff>
                  </to>
                </anchor>
              </controlPr>
            </control>
          </mc:Choice>
        </mc:AlternateContent>
        <mc:AlternateContent xmlns:mc="http://schemas.openxmlformats.org/markup-compatibility/2006">
          <mc:Choice Requires="x14">
            <control shapeId="59406" r:id="rId7" name="Check Box 14">
              <controlPr defaultSize="0" autoFill="0" autoLine="0" autoPict="0">
                <anchor moveWithCells="1">
                  <from>
                    <xdr:col>0</xdr:col>
                    <xdr:colOff>0</xdr:colOff>
                    <xdr:row>11</xdr:row>
                    <xdr:rowOff>0</xdr:rowOff>
                  </from>
                  <to>
                    <xdr:col>3</xdr:col>
                    <xdr:colOff>0</xdr:colOff>
                    <xdr:row>12</xdr:row>
                    <xdr:rowOff>19050</xdr:rowOff>
                  </to>
                </anchor>
              </controlPr>
            </control>
          </mc:Choice>
        </mc:AlternateContent>
        <mc:AlternateContent xmlns:mc="http://schemas.openxmlformats.org/markup-compatibility/2006">
          <mc:Choice Requires="x14">
            <control shapeId="59407" r:id="rId8" name="Check Box 15">
              <controlPr defaultSize="0" autoFill="0" autoLine="0" autoPict="0">
                <anchor moveWithCells="1">
                  <from>
                    <xdr:col>0</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59408" r:id="rId9" name="Check Box 16">
              <controlPr defaultSize="0" autoFill="0" autoLine="0" autoPict="0">
                <anchor moveWithCells="1">
                  <from>
                    <xdr:col>0</xdr:col>
                    <xdr:colOff>0</xdr:colOff>
                    <xdr:row>13</xdr:row>
                    <xdr:rowOff>0</xdr:rowOff>
                  </from>
                  <to>
                    <xdr:col>3</xdr:col>
                    <xdr:colOff>0</xdr:colOff>
                    <xdr:row>14</xdr:row>
                    <xdr:rowOff>19050</xdr:rowOff>
                  </to>
                </anchor>
              </controlPr>
            </control>
          </mc:Choice>
        </mc:AlternateContent>
        <mc:AlternateContent xmlns:mc="http://schemas.openxmlformats.org/markup-compatibility/2006">
          <mc:Choice Requires="x14">
            <control shapeId="59409" r:id="rId10" name="Check Box 17">
              <controlPr defaultSize="0" autoFill="0" autoLine="0" autoPict="0">
                <anchor moveWithCells="1">
                  <from>
                    <xdr:col>0</xdr:col>
                    <xdr:colOff>0</xdr:colOff>
                    <xdr:row>14</xdr:row>
                    <xdr:rowOff>0</xdr:rowOff>
                  </from>
                  <to>
                    <xdr:col>3</xdr:col>
                    <xdr:colOff>0</xdr:colOff>
                    <xdr:row>15</xdr:row>
                    <xdr:rowOff>19050</xdr:rowOff>
                  </to>
                </anchor>
              </controlPr>
            </control>
          </mc:Choice>
        </mc:AlternateContent>
        <mc:AlternateContent xmlns:mc="http://schemas.openxmlformats.org/markup-compatibility/2006">
          <mc:Choice Requires="x14">
            <control shapeId="59410" r:id="rId11" name="Check Box 18">
              <controlPr defaultSize="0" autoFill="0" autoLine="0" autoPict="0">
                <anchor moveWithCells="1">
                  <from>
                    <xdr:col>0</xdr:col>
                    <xdr:colOff>0</xdr:colOff>
                    <xdr:row>15</xdr:row>
                    <xdr:rowOff>0</xdr:rowOff>
                  </from>
                  <to>
                    <xdr:col>3</xdr:col>
                    <xdr:colOff>0</xdr:colOff>
                    <xdr:row>16</xdr:row>
                    <xdr:rowOff>19050</xdr:rowOff>
                  </to>
                </anchor>
              </controlPr>
            </control>
          </mc:Choice>
        </mc:AlternateContent>
        <mc:AlternateContent xmlns:mc="http://schemas.openxmlformats.org/markup-compatibility/2006">
          <mc:Choice Requires="x14">
            <control shapeId="59411" r:id="rId12" name="Check Box 19">
              <controlPr defaultSize="0" autoFill="0" autoLine="0" autoPict="0">
                <anchor moveWithCells="1">
                  <from>
                    <xdr:col>0</xdr:col>
                    <xdr:colOff>0</xdr:colOff>
                    <xdr:row>16</xdr:row>
                    <xdr:rowOff>0</xdr:rowOff>
                  </from>
                  <to>
                    <xdr:col>3</xdr:col>
                    <xdr:colOff>0</xdr:colOff>
                    <xdr:row>17</xdr:row>
                    <xdr:rowOff>19050</xdr:rowOff>
                  </to>
                </anchor>
              </controlPr>
            </control>
          </mc:Choice>
        </mc:AlternateContent>
        <mc:AlternateContent xmlns:mc="http://schemas.openxmlformats.org/markup-compatibility/2006">
          <mc:Choice Requires="x14">
            <control shapeId="59412" r:id="rId13" name="Check Box 20">
              <controlPr defaultSize="0" autoFill="0" autoLine="0" autoPict="0">
                <anchor moveWithCells="1">
                  <from>
                    <xdr:col>0</xdr:col>
                    <xdr:colOff>0</xdr:colOff>
                    <xdr:row>17</xdr:row>
                    <xdr:rowOff>0</xdr:rowOff>
                  </from>
                  <to>
                    <xdr:col>3</xdr:col>
                    <xdr:colOff>0</xdr:colOff>
                    <xdr:row>18</xdr:row>
                    <xdr:rowOff>19050</xdr:rowOff>
                  </to>
                </anchor>
              </controlPr>
            </control>
          </mc:Choice>
        </mc:AlternateContent>
        <mc:AlternateContent xmlns:mc="http://schemas.openxmlformats.org/markup-compatibility/2006">
          <mc:Choice Requires="x14">
            <control shapeId="59413" r:id="rId14" name="Check Box 21">
              <controlPr defaultSize="0" autoFill="0" autoLine="0" autoPict="0">
                <anchor moveWithCells="1">
                  <from>
                    <xdr:col>0</xdr:col>
                    <xdr:colOff>0</xdr:colOff>
                    <xdr:row>18</xdr:row>
                    <xdr:rowOff>0</xdr:rowOff>
                  </from>
                  <to>
                    <xdr:col>3</xdr:col>
                    <xdr:colOff>0</xdr:colOff>
                    <xdr:row>19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45"/>
  <sheetViews>
    <sheetView zoomScale="85" zoomScaleNormal="85" workbookViewId="0">
      <selection sqref="A1:C1"/>
    </sheetView>
  </sheetViews>
  <sheetFormatPr defaultColWidth="9.1328125" defaultRowHeight="14.25" x14ac:dyDescent="0.45"/>
  <cols>
    <col min="1" max="1" width="17.73046875" style="158" customWidth="1"/>
    <col min="2" max="2" width="12.73046875" style="158" bestFit="1" customWidth="1"/>
    <col min="3" max="3" width="101.59765625" style="160" customWidth="1"/>
    <col min="4" max="9" width="9.1328125" style="158" hidden="1" customWidth="1"/>
    <col min="10" max="10" width="9.1328125" style="158" customWidth="1"/>
    <col min="11" max="14" width="9.1328125" style="158"/>
    <col min="15" max="16384" width="9.1328125" style="43"/>
  </cols>
  <sheetData>
    <row r="1" spans="1:14" s="1" customFormat="1" ht="18" x14ac:dyDescent="0.55000000000000004">
      <c r="A1" s="197" t="str">
        <f>CONCATENATE(Title, " ", Version)</f>
        <v>COMSCC 2025 v13.2</v>
      </c>
      <c r="B1" s="197"/>
      <c r="C1" s="197"/>
      <c r="D1" s="157"/>
      <c r="E1" s="157"/>
      <c r="F1" s="157"/>
      <c r="G1" s="158"/>
      <c r="H1" s="158"/>
      <c r="I1" s="158"/>
      <c r="J1" s="145"/>
      <c r="K1" s="145"/>
      <c r="L1" s="145"/>
      <c r="M1" s="145"/>
      <c r="N1" s="145"/>
    </row>
    <row r="2" spans="1:14" s="1" customFormat="1" x14ac:dyDescent="0.45">
      <c r="A2" s="145"/>
      <c r="B2" s="145"/>
      <c r="C2" s="147"/>
      <c r="D2" s="158"/>
      <c r="E2" s="158"/>
      <c r="F2" s="158"/>
      <c r="G2" s="158"/>
      <c r="H2" s="158"/>
      <c r="I2" s="158"/>
      <c r="J2" s="145"/>
      <c r="K2" s="145"/>
      <c r="L2" s="145"/>
      <c r="M2" s="145"/>
      <c r="N2" s="145"/>
    </row>
    <row r="3" spans="1:14" s="1" customFormat="1" ht="28.5" x14ac:dyDescent="0.45">
      <c r="A3" s="146" t="s">
        <v>100</v>
      </c>
      <c r="B3" s="145"/>
      <c r="C3" s="147"/>
      <c r="D3" s="158"/>
      <c r="E3" s="158"/>
      <c r="F3" s="158"/>
      <c r="G3" s="158"/>
      <c r="H3" s="158"/>
      <c r="I3" s="158"/>
      <c r="J3" s="145"/>
      <c r="K3" s="145"/>
      <c r="L3" s="145"/>
      <c r="M3" s="145"/>
      <c r="N3" s="145"/>
    </row>
    <row r="4" spans="1:14" s="1" customFormat="1" x14ac:dyDescent="0.45">
      <c r="A4" s="145"/>
      <c r="B4" s="145"/>
      <c r="C4" s="147"/>
      <c r="D4" s="158"/>
      <c r="E4" s="158"/>
      <c r="F4" s="158"/>
      <c r="G4" s="158"/>
      <c r="H4" s="158"/>
      <c r="I4" s="158"/>
      <c r="J4" s="145"/>
      <c r="K4" s="145"/>
      <c r="L4" s="145"/>
      <c r="M4" s="145"/>
      <c r="N4" s="145"/>
    </row>
    <row r="5" spans="1:14" s="1" customFormat="1" x14ac:dyDescent="0.45">
      <c r="A5" s="148" t="s">
        <v>62</v>
      </c>
      <c r="B5" s="145"/>
      <c r="C5" s="147"/>
      <c r="D5" s="158"/>
      <c r="E5" s="158"/>
      <c r="F5" s="158"/>
      <c r="G5" s="158"/>
      <c r="H5" s="158"/>
      <c r="I5" s="158"/>
      <c r="J5" s="145"/>
      <c r="K5" s="145"/>
      <c r="L5" s="145"/>
      <c r="M5" s="145"/>
      <c r="N5" s="145"/>
    </row>
    <row r="6" spans="1:14" s="1" customFormat="1" x14ac:dyDescent="0.45">
      <c r="A6" s="149" t="s">
        <v>446</v>
      </c>
      <c r="B6" s="145"/>
      <c r="C6" s="147"/>
      <c r="D6" s="158"/>
      <c r="E6" s="158"/>
      <c r="F6" s="158"/>
      <c r="G6" s="158"/>
      <c r="H6" s="158"/>
      <c r="I6" s="158"/>
      <c r="J6" s="145"/>
      <c r="K6" s="145"/>
      <c r="L6" s="145"/>
      <c r="M6" s="145"/>
      <c r="N6" s="145"/>
    </row>
    <row r="7" spans="1:14" s="1" customFormat="1" x14ac:dyDescent="0.45">
      <c r="A7" s="145"/>
      <c r="B7" s="145"/>
      <c r="C7" s="147"/>
      <c r="D7" s="158"/>
      <c r="E7" s="158"/>
      <c r="F7" s="158"/>
      <c r="G7" s="158"/>
      <c r="H7" s="158"/>
      <c r="I7" s="158"/>
      <c r="J7" s="145"/>
      <c r="K7" s="145"/>
      <c r="L7" s="145"/>
      <c r="M7" s="145"/>
      <c r="N7" s="145"/>
    </row>
    <row r="8" spans="1:14" s="1" customFormat="1" x14ac:dyDescent="0.45">
      <c r="A8" s="150" t="s">
        <v>633</v>
      </c>
      <c r="B8" s="151" t="s">
        <v>0</v>
      </c>
      <c r="C8" s="150" t="s">
        <v>1</v>
      </c>
      <c r="D8" s="158"/>
      <c r="E8" s="158"/>
      <c r="F8" s="158"/>
      <c r="G8" s="158" t="b">
        <f>IF(H8&gt;0, TRUE, FALSE)</f>
        <v>0</v>
      </c>
      <c r="H8" s="158">
        <f>COUNTIF(H9:H21, TRUE)</f>
        <v>0</v>
      </c>
      <c r="I8" s="158"/>
      <c r="J8" s="145"/>
      <c r="K8" s="145"/>
      <c r="L8" s="145"/>
      <c r="M8" s="145"/>
      <c r="N8" s="145"/>
    </row>
    <row r="9" spans="1:14" x14ac:dyDescent="0.45">
      <c r="A9" s="161"/>
      <c r="B9" s="162">
        <v>1</v>
      </c>
      <c r="C9" s="163" t="s">
        <v>362</v>
      </c>
      <c r="D9" s="158" t="b">
        <v>0</v>
      </c>
      <c r="E9" s="158">
        <f>IF(D9, B9, 0)</f>
        <v>0</v>
      </c>
      <c r="F9" s="158">
        <f>IF(D9, B9, 0)</f>
        <v>0</v>
      </c>
    </row>
    <row r="10" spans="1:14" x14ac:dyDescent="0.45">
      <c r="A10" s="161"/>
      <c r="B10" s="162">
        <v>1</v>
      </c>
      <c r="C10" s="163" t="s">
        <v>363</v>
      </c>
      <c r="D10" s="158" t="b">
        <v>0</v>
      </c>
      <c r="E10" s="158">
        <f>IF(D10, B10, 0)</f>
        <v>0</v>
      </c>
      <c r="F10" s="158">
        <f>COUNTIF(D10:D11, TRUE)</f>
        <v>0</v>
      </c>
      <c r="G10" s="160" t="b">
        <f>F10&gt;1</f>
        <v>0</v>
      </c>
      <c r="H10" s="158" t="b">
        <f>IF(G10,TRUE,FALSE)</f>
        <v>0</v>
      </c>
      <c r="I10" s="158" t="b">
        <f>AND(D10,H$10)</f>
        <v>0</v>
      </c>
    </row>
    <row r="11" spans="1:14" ht="28.5" x14ac:dyDescent="0.45">
      <c r="A11" s="161"/>
      <c r="B11" s="162">
        <v>2</v>
      </c>
      <c r="C11" s="163" t="s">
        <v>364</v>
      </c>
      <c r="D11" s="158" t="b">
        <v>0</v>
      </c>
      <c r="E11" s="158">
        <f t="shared" ref="E11:E29" si="0">IF(D11, B11, 0)</f>
        <v>0</v>
      </c>
      <c r="F11" s="158">
        <f t="shared" ref="F11:F32" si="1">IF(D11, B11, 0)</f>
        <v>0</v>
      </c>
      <c r="I11" s="158" t="b">
        <f>AND(D11,H$10)</f>
        <v>0</v>
      </c>
    </row>
    <row r="12" spans="1:14" x14ac:dyDescent="0.45">
      <c r="A12" s="161"/>
      <c r="B12" s="162">
        <v>1</v>
      </c>
      <c r="C12" s="163" t="s">
        <v>46</v>
      </c>
      <c r="D12" s="158" t="b">
        <v>0</v>
      </c>
      <c r="E12" s="158">
        <f t="shared" si="0"/>
        <v>0</v>
      </c>
      <c r="F12" s="158">
        <f t="shared" si="1"/>
        <v>0</v>
      </c>
    </row>
    <row r="13" spans="1:14" ht="30.4" customHeight="1" x14ac:dyDescent="0.45">
      <c r="A13" s="161"/>
      <c r="B13" s="162">
        <v>1</v>
      </c>
      <c r="C13" s="163" t="s">
        <v>520</v>
      </c>
      <c r="D13" s="158" t="b">
        <v>0</v>
      </c>
      <c r="E13" s="158">
        <f t="shared" si="0"/>
        <v>0</v>
      </c>
      <c r="F13" s="158">
        <f>COUNTIF(D13:D15, TRUE)</f>
        <v>0</v>
      </c>
      <c r="G13" s="160" t="b">
        <f>F13&gt;1</f>
        <v>0</v>
      </c>
      <c r="H13" s="158" t="b">
        <f>IF(G13,TRUE,FALSE)</f>
        <v>0</v>
      </c>
      <c r="I13" s="158" t="b">
        <f>AND(D13,H$13)</f>
        <v>0</v>
      </c>
    </row>
    <row r="14" spans="1:14" ht="28.5" x14ac:dyDescent="0.45">
      <c r="A14" s="161"/>
      <c r="B14" s="162">
        <v>2</v>
      </c>
      <c r="C14" s="163" t="s">
        <v>521</v>
      </c>
      <c r="D14" s="158" t="b">
        <v>0</v>
      </c>
      <c r="E14" s="158">
        <f t="shared" si="0"/>
        <v>0</v>
      </c>
      <c r="F14" s="158">
        <f t="shared" si="1"/>
        <v>0</v>
      </c>
      <c r="G14" s="160" t="b">
        <f>F14&gt;1</f>
        <v>0</v>
      </c>
      <c r="I14" s="158" t="b">
        <f>AND(D14,H$13)</f>
        <v>0</v>
      </c>
    </row>
    <row r="15" spans="1:14" x14ac:dyDescent="0.45">
      <c r="A15" s="161"/>
      <c r="B15" s="162">
        <v>3</v>
      </c>
      <c r="C15" s="163" t="s">
        <v>522</v>
      </c>
      <c r="D15" s="158" t="b">
        <v>0</v>
      </c>
      <c r="E15" s="158">
        <f t="shared" si="0"/>
        <v>0</v>
      </c>
      <c r="F15" s="158">
        <f t="shared" si="1"/>
        <v>0</v>
      </c>
      <c r="I15" s="158" t="b">
        <f>AND(D15,H$13)</f>
        <v>0</v>
      </c>
    </row>
    <row r="16" spans="1:14" ht="28.5" x14ac:dyDescent="0.45">
      <c r="A16" s="161"/>
      <c r="B16" s="162">
        <v>1</v>
      </c>
      <c r="C16" s="163" t="s">
        <v>47</v>
      </c>
      <c r="D16" s="158" t="b">
        <v>0</v>
      </c>
      <c r="E16" s="158">
        <f t="shared" si="0"/>
        <v>0</v>
      </c>
      <c r="F16" s="158">
        <f>COUNTIF(D16:D17, TRUE)</f>
        <v>0</v>
      </c>
      <c r="G16" s="158" t="b">
        <f>F16&gt;1</f>
        <v>0</v>
      </c>
      <c r="H16" s="158" t="b">
        <f>IF(G16,TRUE,FALSE)</f>
        <v>0</v>
      </c>
      <c r="I16" s="158" t="b">
        <f>AND(D16,H$16)</f>
        <v>0</v>
      </c>
    </row>
    <row r="17" spans="1:14" x14ac:dyDescent="0.45">
      <c r="A17" s="164"/>
      <c r="B17" s="162">
        <v>0</v>
      </c>
      <c r="C17" s="163" t="s">
        <v>261</v>
      </c>
      <c r="D17" s="158" t="b">
        <v>0</v>
      </c>
      <c r="E17" s="158">
        <f t="shared" si="0"/>
        <v>0</v>
      </c>
      <c r="F17" s="158">
        <f t="shared" si="1"/>
        <v>0</v>
      </c>
      <c r="I17" s="158" t="b">
        <f>AND(D17,H$16)</f>
        <v>0</v>
      </c>
    </row>
    <row r="18" spans="1:14" x14ac:dyDescent="0.45">
      <c r="A18" s="161"/>
      <c r="B18" s="162">
        <v>1</v>
      </c>
      <c r="C18" s="163" t="s">
        <v>51</v>
      </c>
      <c r="D18" s="158" t="b">
        <v>0</v>
      </c>
      <c r="E18" s="158">
        <f t="shared" si="0"/>
        <v>0</v>
      </c>
      <c r="F18" s="158">
        <f t="shared" si="1"/>
        <v>0</v>
      </c>
    </row>
    <row r="19" spans="1:14" x14ac:dyDescent="0.45">
      <c r="A19" s="161"/>
      <c r="B19" s="162">
        <v>2</v>
      </c>
      <c r="C19" s="163" t="s">
        <v>48</v>
      </c>
      <c r="D19" s="158" t="b">
        <v>0</v>
      </c>
      <c r="E19" s="158">
        <f t="shared" si="0"/>
        <v>0</v>
      </c>
      <c r="F19" s="158">
        <f t="shared" si="1"/>
        <v>0</v>
      </c>
    </row>
    <row r="20" spans="1:14" x14ac:dyDescent="0.45">
      <c r="A20" s="161"/>
      <c r="B20" s="162">
        <v>2</v>
      </c>
      <c r="C20" s="163" t="s">
        <v>49</v>
      </c>
      <c r="D20" s="158" t="b">
        <v>0</v>
      </c>
      <c r="E20" s="158">
        <f t="shared" si="0"/>
        <v>0</v>
      </c>
      <c r="F20" s="158">
        <f t="shared" si="1"/>
        <v>0</v>
      </c>
    </row>
    <row r="21" spans="1:14" x14ac:dyDescent="0.45">
      <c r="A21" s="161"/>
      <c r="B21" s="162">
        <v>1</v>
      </c>
      <c r="C21" s="163" t="s">
        <v>50</v>
      </c>
      <c r="D21" s="158" t="b">
        <v>0</v>
      </c>
      <c r="E21" s="158">
        <f t="shared" si="0"/>
        <v>0</v>
      </c>
      <c r="F21" s="158">
        <f t="shared" si="1"/>
        <v>0</v>
      </c>
    </row>
    <row r="22" spans="1:14" ht="28.5" x14ac:dyDescent="0.45">
      <c r="A22" s="161"/>
      <c r="B22" s="162">
        <v>4</v>
      </c>
      <c r="C22" s="163" t="s">
        <v>838</v>
      </c>
      <c r="D22" s="158" t="b">
        <v>0</v>
      </c>
      <c r="E22" s="158">
        <f t="shared" si="0"/>
        <v>0</v>
      </c>
      <c r="F22" s="158">
        <f t="shared" si="1"/>
        <v>0</v>
      </c>
    </row>
    <row r="23" spans="1:14" ht="42.75" x14ac:dyDescent="0.45">
      <c r="A23" s="164"/>
      <c r="B23" s="162">
        <v>0</v>
      </c>
      <c r="C23" s="163" t="s">
        <v>523</v>
      </c>
      <c r="D23" s="158" t="b">
        <v>0</v>
      </c>
      <c r="E23" s="158">
        <f t="shared" si="0"/>
        <v>0</v>
      </c>
      <c r="F23" s="158">
        <f t="shared" si="1"/>
        <v>0</v>
      </c>
    </row>
    <row r="24" spans="1:14" x14ac:dyDescent="0.45">
      <c r="A24" s="164"/>
      <c r="B24" s="162">
        <v>0</v>
      </c>
      <c r="C24" s="163" t="s">
        <v>438</v>
      </c>
      <c r="D24" s="158" t="b">
        <v>0</v>
      </c>
      <c r="E24" s="158">
        <f t="shared" si="0"/>
        <v>0</v>
      </c>
      <c r="F24" s="158">
        <f t="shared" si="1"/>
        <v>0</v>
      </c>
    </row>
    <row r="25" spans="1:14" x14ac:dyDescent="0.45">
      <c r="A25" s="164"/>
      <c r="B25" s="162">
        <v>0</v>
      </c>
      <c r="C25" s="163" t="s">
        <v>439</v>
      </c>
      <c r="D25" s="158" t="b">
        <v>0</v>
      </c>
      <c r="E25" s="158">
        <f t="shared" si="0"/>
        <v>0</v>
      </c>
      <c r="F25" s="158">
        <f t="shared" si="1"/>
        <v>0</v>
      </c>
    </row>
    <row r="26" spans="1:14" x14ac:dyDescent="0.45">
      <c r="A26" s="164"/>
      <c r="B26" s="162">
        <v>0</v>
      </c>
      <c r="C26" s="163" t="s">
        <v>440</v>
      </c>
      <c r="D26" s="158" t="b">
        <v>0</v>
      </c>
      <c r="E26" s="158">
        <f t="shared" si="0"/>
        <v>0</v>
      </c>
      <c r="F26" s="158">
        <f t="shared" si="1"/>
        <v>0</v>
      </c>
    </row>
    <row r="27" spans="1:14" x14ac:dyDescent="0.45">
      <c r="A27" s="164"/>
      <c r="B27" s="162">
        <v>0</v>
      </c>
      <c r="C27" s="163" t="s">
        <v>441</v>
      </c>
      <c r="D27" s="158" t="b">
        <v>0</v>
      </c>
      <c r="E27" s="158">
        <f t="shared" si="0"/>
        <v>0</v>
      </c>
      <c r="F27" s="158">
        <f t="shared" si="1"/>
        <v>0</v>
      </c>
    </row>
    <row r="28" spans="1:14" x14ac:dyDescent="0.45">
      <c r="A28" s="164"/>
      <c r="B28" s="162">
        <v>0</v>
      </c>
      <c r="C28" s="163" t="s">
        <v>442</v>
      </c>
      <c r="D28" s="158" t="b">
        <v>0</v>
      </c>
      <c r="E28" s="158">
        <f t="shared" si="0"/>
        <v>0</v>
      </c>
      <c r="F28" s="158">
        <f t="shared" si="1"/>
        <v>0</v>
      </c>
    </row>
    <row r="29" spans="1:14" x14ac:dyDescent="0.45">
      <c r="A29" s="161"/>
      <c r="B29" s="162">
        <v>-1</v>
      </c>
      <c r="C29" s="163" t="s">
        <v>825</v>
      </c>
      <c r="D29" s="158" t="b">
        <v>0</v>
      </c>
      <c r="E29" s="158">
        <f t="shared" si="0"/>
        <v>0</v>
      </c>
      <c r="F29" s="158">
        <f t="shared" si="1"/>
        <v>0</v>
      </c>
    </row>
    <row r="30" spans="1:14" s="1" customFormat="1" x14ac:dyDescent="0.45">
      <c r="A30" s="153" t="s">
        <v>20</v>
      </c>
      <c r="B30" s="153">
        <f>IF(G8,"Select Error",SUM(E9:E29))</f>
        <v>0</v>
      </c>
      <c r="C30" s="152"/>
      <c r="D30" s="158"/>
      <c r="E30" s="158">
        <f>SUM(E9:E29)</f>
        <v>0</v>
      </c>
      <c r="F30" s="158">
        <f t="shared" si="1"/>
        <v>0</v>
      </c>
      <c r="G30" s="158"/>
      <c r="H30" s="158"/>
      <c r="I30" s="158"/>
      <c r="J30" s="145"/>
      <c r="K30" s="145"/>
      <c r="L30" s="145"/>
      <c r="M30" s="145"/>
      <c r="N30" s="145"/>
    </row>
    <row r="31" spans="1:14" s="1" customFormat="1" x14ac:dyDescent="0.45">
      <c r="A31" s="145"/>
      <c r="B31" s="145"/>
      <c r="C31" s="147"/>
      <c r="D31" s="158"/>
      <c r="E31" s="158"/>
      <c r="F31" s="158">
        <f t="shared" si="1"/>
        <v>0</v>
      </c>
      <c r="G31" s="158"/>
      <c r="H31" s="158"/>
      <c r="I31" s="158"/>
      <c r="J31" s="145"/>
      <c r="K31" s="145"/>
      <c r="L31" s="145"/>
      <c r="M31" s="145"/>
      <c r="N31" s="145"/>
    </row>
    <row r="32" spans="1:14" s="1" customFormat="1" x14ac:dyDescent="0.45">
      <c r="A32" s="151" t="s">
        <v>61</v>
      </c>
      <c r="B32" s="151" t="s">
        <v>0</v>
      </c>
      <c r="C32" s="150" t="s">
        <v>1</v>
      </c>
      <c r="D32" s="158"/>
      <c r="E32" s="158"/>
      <c r="F32" s="158">
        <f t="shared" si="1"/>
        <v>0</v>
      </c>
      <c r="G32" s="158"/>
      <c r="H32" s="158"/>
      <c r="I32" s="158"/>
      <c r="J32" s="145"/>
      <c r="K32" s="145"/>
      <c r="L32" s="145"/>
      <c r="M32" s="145"/>
      <c r="N32" s="145"/>
    </row>
    <row r="33" spans="1:15" s="1" customFormat="1" ht="28.5" x14ac:dyDescent="0.45">
      <c r="A33" s="161"/>
      <c r="B33" s="154">
        <f>A33*4</f>
        <v>0</v>
      </c>
      <c r="C33" s="152" t="s">
        <v>337</v>
      </c>
      <c r="D33" s="158"/>
      <c r="E33" s="158"/>
      <c r="F33" s="158"/>
      <c r="G33" s="158"/>
      <c r="H33" s="158"/>
      <c r="I33" s="158"/>
      <c r="J33" s="145"/>
      <c r="K33" s="158"/>
      <c r="L33" s="158"/>
      <c r="M33" s="158"/>
      <c r="N33" s="158"/>
      <c r="O33" s="43"/>
    </row>
    <row r="34" spans="1:15" s="1" customFormat="1" x14ac:dyDescent="0.45">
      <c r="A34" s="145"/>
      <c r="B34" s="145"/>
      <c r="C34" s="147"/>
      <c r="D34" s="158"/>
      <c r="E34" s="158"/>
      <c r="F34" s="158"/>
      <c r="G34" s="158"/>
      <c r="H34" s="158"/>
      <c r="I34" s="158"/>
      <c r="J34" s="145"/>
      <c r="K34" s="145"/>
      <c r="L34" s="145"/>
      <c r="M34" s="145"/>
      <c r="N34" s="145"/>
    </row>
    <row r="35" spans="1:15" s="1" customFormat="1" ht="14.65" thickBot="1" x14ac:dyDescent="0.5">
      <c r="A35" s="145"/>
      <c r="B35" s="145"/>
      <c r="C35" s="147"/>
      <c r="D35" s="158"/>
      <c r="E35" s="158"/>
      <c r="F35" s="158"/>
      <c r="G35" s="158"/>
      <c r="H35" s="158"/>
      <c r="I35" s="158"/>
      <c r="J35" s="145"/>
      <c r="K35" s="145"/>
      <c r="L35" s="145"/>
      <c r="M35" s="145"/>
      <c r="N35" s="145"/>
    </row>
    <row r="36" spans="1:15" s="1" customFormat="1" ht="43.15" thickBot="1" x14ac:dyDescent="0.5">
      <c r="A36" s="155" t="s">
        <v>60</v>
      </c>
      <c r="B36" s="156">
        <f>SUM(B33,Total,-E22)</f>
        <v>0</v>
      </c>
      <c r="C36" s="147"/>
      <c r="D36" s="158"/>
      <c r="E36" s="158"/>
      <c r="F36" s="158"/>
      <c r="G36" s="158"/>
      <c r="H36" s="158"/>
      <c r="I36" s="158"/>
      <c r="J36" s="145"/>
      <c r="K36" s="145"/>
      <c r="L36" s="145"/>
      <c r="M36" s="145"/>
      <c r="N36" s="145"/>
    </row>
    <row r="37" spans="1:15" s="1" customFormat="1" x14ac:dyDescent="0.45">
      <c r="A37" s="145"/>
      <c r="B37" s="145"/>
      <c r="C37" s="147"/>
      <c r="D37" s="158"/>
      <c r="E37" s="158"/>
      <c r="F37" s="158"/>
      <c r="G37" s="158"/>
      <c r="H37" s="158"/>
      <c r="I37" s="158"/>
      <c r="J37" s="145"/>
      <c r="K37" s="145"/>
      <c r="L37" s="145"/>
      <c r="M37" s="145"/>
      <c r="N37" s="145"/>
    </row>
    <row r="38" spans="1:15" s="1" customFormat="1" ht="42.75" x14ac:dyDescent="0.45">
      <c r="A38" s="159" t="s">
        <v>108</v>
      </c>
      <c r="B38" s="159" t="s">
        <v>109</v>
      </c>
      <c r="C38" s="160"/>
      <c r="D38" s="158"/>
      <c r="E38" s="158"/>
      <c r="F38" s="158"/>
      <c r="G38" s="158"/>
      <c r="H38" s="158"/>
      <c r="I38" s="158"/>
      <c r="J38" s="158"/>
      <c r="K38" s="158"/>
      <c r="L38" s="158"/>
      <c r="M38" s="158"/>
      <c r="N38" s="158"/>
      <c r="O38" s="43"/>
    </row>
    <row r="39" spans="1:15" s="1" customFormat="1" x14ac:dyDescent="0.45">
      <c r="A39" s="158"/>
      <c r="B39" s="158"/>
      <c r="C39" s="160"/>
      <c r="D39" s="158"/>
      <c r="E39" s="158"/>
      <c r="F39" s="158"/>
      <c r="G39" s="158"/>
      <c r="H39" s="158"/>
      <c r="I39" s="158"/>
      <c r="J39" s="158"/>
      <c r="K39" s="158"/>
      <c r="L39" s="158"/>
      <c r="M39" s="158"/>
      <c r="N39" s="158"/>
      <c r="O39" s="43"/>
    </row>
    <row r="40" spans="1:15" s="1" customFormat="1" x14ac:dyDescent="0.45">
      <c r="A40" s="158"/>
      <c r="B40" s="158"/>
      <c r="C40" s="160"/>
      <c r="D40" s="158"/>
      <c r="E40" s="158"/>
      <c r="F40" s="158"/>
      <c r="G40" s="158"/>
      <c r="H40" s="158"/>
      <c r="I40" s="158"/>
      <c r="J40" s="158"/>
      <c r="K40" s="158"/>
      <c r="L40" s="158"/>
      <c r="M40" s="158"/>
      <c r="N40" s="158"/>
      <c r="O40" s="43"/>
    </row>
    <row r="41" spans="1:15" s="1" customFormat="1" x14ac:dyDescent="0.45">
      <c r="A41" s="158"/>
      <c r="B41" s="158"/>
      <c r="C41" s="160"/>
      <c r="D41" s="158"/>
      <c r="E41" s="158"/>
      <c r="F41" s="158"/>
      <c r="G41" s="158"/>
      <c r="H41" s="158"/>
      <c r="I41" s="158"/>
      <c r="J41" s="158"/>
      <c r="K41" s="158"/>
      <c r="L41" s="158"/>
      <c r="M41" s="158"/>
      <c r="N41" s="158"/>
      <c r="O41" s="43"/>
    </row>
    <row r="42" spans="1:15" s="1" customFormat="1" x14ac:dyDescent="0.45">
      <c r="A42" s="158"/>
      <c r="B42" s="158"/>
      <c r="C42" s="160"/>
      <c r="D42" s="158"/>
      <c r="E42" s="158"/>
      <c r="F42" s="158"/>
      <c r="G42" s="158"/>
      <c r="H42" s="158"/>
      <c r="I42" s="158"/>
      <c r="J42" s="158"/>
      <c r="K42" s="158"/>
      <c r="L42" s="158"/>
      <c r="M42" s="158"/>
      <c r="N42" s="158"/>
      <c r="O42" s="43"/>
    </row>
    <row r="43" spans="1:15" s="1" customFormat="1" x14ac:dyDescent="0.45">
      <c r="A43" s="158"/>
      <c r="B43" s="158"/>
      <c r="C43" s="160"/>
      <c r="D43" s="158"/>
      <c r="E43" s="158"/>
      <c r="F43" s="158"/>
      <c r="G43" s="158"/>
      <c r="H43" s="158"/>
      <c r="I43" s="158"/>
      <c r="J43" s="158"/>
      <c r="K43" s="158"/>
      <c r="L43" s="158"/>
      <c r="M43" s="158"/>
      <c r="N43" s="158"/>
      <c r="O43" s="43"/>
    </row>
    <row r="44" spans="1:15" s="1" customFormat="1" x14ac:dyDescent="0.45">
      <c r="A44" s="158"/>
      <c r="B44" s="158"/>
      <c r="C44" s="160"/>
      <c r="D44" s="158"/>
      <c r="E44" s="158"/>
      <c r="F44" s="158"/>
      <c r="G44" s="158"/>
      <c r="H44" s="158"/>
      <c r="I44" s="158"/>
      <c r="J44" s="158"/>
      <c r="K44" s="158"/>
      <c r="L44" s="158"/>
      <c r="M44" s="158"/>
      <c r="N44" s="158"/>
      <c r="O44" s="43"/>
    </row>
    <row r="45" spans="1:15" s="1" customFormat="1" x14ac:dyDescent="0.45">
      <c r="A45" s="158"/>
      <c r="B45" s="158"/>
      <c r="C45" s="160"/>
      <c r="D45" s="158"/>
      <c r="E45" s="158"/>
      <c r="F45" s="158"/>
      <c r="G45" s="158"/>
      <c r="H45" s="158"/>
      <c r="I45" s="158"/>
      <c r="J45" s="158"/>
      <c r="K45" s="158"/>
      <c r="L45" s="158"/>
      <c r="M45" s="158"/>
      <c r="N45" s="158"/>
      <c r="O45" s="43"/>
    </row>
  </sheetData>
  <sheetProtection algorithmName="SHA-512" hashValue="TBuzrqx9i84fpuNOJIlN2IJntvFiviwEvH2cg8Swpy4CoV/bDAV7abH+RAf+SSwoNgLBj7tVG5912HVENNQsIg==" saltValue="wB+TaG+TT9w6dgO4mFDiMA==" spinCount="100000" sheet="1" objects="1" scenarios="1"/>
  <mergeCells count="1">
    <mergeCell ref="A1:C1"/>
  </mergeCells>
  <conditionalFormatting sqref="A33">
    <cfRule type="cellIs" dxfId="112" priority="114" operator="greaterThan">
      <formula>0</formula>
    </cfRule>
  </conditionalFormatting>
  <conditionalFormatting sqref="B30">
    <cfRule type="expression" dxfId="111" priority="1" stopIfTrue="1">
      <formula>($F$8)</formula>
    </cfRule>
  </conditionalFormatting>
  <conditionalFormatting sqref="B9:C9">
    <cfRule type="expression" dxfId="110" priority="115">
      <formula>$D$9</formula>
    </cfRule>
  </conditionalFormatting>
  <conditionalFormatting sqref="B10:C10">
    <cfRule type="expression" dxfId="109" priority="116">
      <formula>$D$10</formula>
    </cfRule>
  </conditionalFormatting>
  <conditionalFormatting sqref="B10:C11">
    <cfRule type="expression" dxfId="108" priority="7" stopIfTrue="1">
      <formula>AND(D10, $F$10&gt;1)</formula>
    </cfRule>
  </conditionalFormatting>
  <conditionalFormatting sqref="B11:C11">
    <cfRule type="expression" dxfId="107" priority="117">
      <formula>$D$11</formula>
    </cfRule>
  </conditionalFormatting>
  <conditionalFormatting sqref="B12:C12">
    <cfRule type="expression" dxfId="106" priority="118">
      <formula>$D$12</formula>
    </cfRule>
  </conditionalFormatting>
  <conditionalFormatting sqref="B13:C13">
    <cfRule type="expression" dxfId="105" priority="119">
      <formula>$D$13</formula>
    </cfRule>
  </conditionalFormatting>
  <conditionalFormatting sqref="B13:C15">
    <cfRule type="expression" dxfId="104" priority="2" stopIfTrue="1">
      <formula>AND(D13, $F$13&gt;1)</formula>
    </cfRule>
  </conditionalFormatting>
  <conditionalFormatting sqref="B14:C14">
    <cfRule type="expression" dxfId="103" priority="120">
      <formula>$D$14</formula>
    </cfRule>
  </conditionalFormatting>
  <conditionalFormatting sqref="B15:C15">
    <cfRule type="expression" dxfId="102" priority="121">
      <formula>$D$15</formula>
    </cfRule>
  </conditionalFormatting>
  <conditionalFormatting sqref="B16:C16">
    <cfRule type="expression" dxfId="101" priority="122">
      <formula>$D$16</formula>
    </cfRule>
  </conditionalFormatting>
  <conditionalFormatting sqref="B16:C17">
    <cfRule type="expression" dxfId="100" priority="5" stopIfTrue="1">
      <formula>AND(D16, $F$16&gt;1)</formula>
    </cfRule>
  </conditionalFormatting>
  <conditionalFormatting sqref="B17:C17">
    <cfRule type="expression" dxfId="99" priority="123">
      <formula>$D$17</formula>
    </cfRule>
  </conditionalFormatting>
  <conditionalFormatting sqref="B18:C18">
    <cfRule type="expression" dxfId="98" priority="124">
      <formula>$D$18</formula>
    </cfRule>
  </conditionalFormatting>
  <conditionalFormatting sqref="B19:C19">
    <cfRule type="expression" dxfId="97" priority="125">
      <formula>$D$19</formula>
    </cfRule>
  </conditionalFormatting>
  <conditionalFormatting sqref="B20:C20">
    <cfRule type="expression" dxfId="96" priority="126">
      <formula>$D$20</formula>
    </cfRule>
  </conditionalFormatting>
  <conditionalFormatting sqref="B21:C21">
    <cfRule type="expression" dxfId="95" priority="127">
      <formula>$D$21</formula>
    </cfRule>
  </conditionalFormatting>
  <conditionalFormatting sqref="B22:C22">
    <cfRule type="expression" dxfId="94" priority="128">
      <formula>$D$22</formula>
    </cfRule>
  </conditionalFormatting>
  <conditionalFormatting sqref="B23:C23">
    <cfRule type="expression" dxfId="93" priority="129">
      <formula>$D$23</formula>
    </cfRule>
  </conditionalFormatting>
  <conditionalFormatting sqref="B24:C24">
    <cfRule type="expression" dxfId="92" priority="130">
      <formula>$D$24</formula>
    </cfRule>
  </conditionalFormatting>
  <conditionalFormatting sqref="B25:C25">
    <cfRule type="expression" dxfId="91" priority="131">
      <formula>$D$25</formula>
    </cfRule>
  </conditionalFormatting>
  <conditionalFormatting sqref="B26:C26">
    <cfRule type="expression" dxfId="90" priority="132">
      <formula>$D$26</formula>
    </cfRule>
  </conditionalFormatting>
  <conditionalFormatting sqref="B27:C27">
    <cfRule type="expression" dxfId="89" priority="133">
      <formula>$D$27</formula>
    </cfRule>
  </conditionalFormatting>
  <conditionalFormatting sqref="B28:C28">
    <cfRule type="expression" dxfId="88" priority="134">
      <formula>$D$28</formula>
    </cfRule>
  </conditionalFormatting>
  <conditionalFormatting sqref="B29:C29">
    <cfRule type="expression" dxfId="87" priority="135">
      <formula>$D$29</formula>
    </cfRule>
  </conditionalFormatting>
  <dataValidations count="1">
    <dataValidation type="list" allowBlank="1" showInputMessage="1" showErrorMessage="1" sqref="A9:A29" xr:uid="{00000000-0002-0000-0700-000000000000}">
      <formula1>"TRUE,FALSE"</formula1>
    </dataValidation>
  </dataValidations>
  <hyperlinks>
    <hyperlink ref="A38" location="Brakes!A1" display="Go to previous sheet (Brakes)" xr:uid="{00000000-0004-0000-0700-000000000000}"/>
    <hyperlink ref="B38" location="Weight!A1" display="Go to next sheet (Weight Reduction" xr:uid="{00000000-0004-0000-0700-000001000000}"/>
    <hyperlink ref="A3" location="Summary!A1" display="Touring Class Summary" xr:uid="{00000000-0004-0000-0700-000002000000}"/>
  </hyperlinks>
  <pageMargins left="0.7" right="0.7" top="0.75" bottom="0.75" header="0.3" footer="0.3"/>
  <pageSetup scale="82" orientation="landscape"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857" r:id="rId4" name="Check Box 153">
              <controlPr defaultSize="0" autoFill="0" autoLine="0" autoPict="0">
                <anchor moveWithCells="1">
                  <from>
                    <xdr:col>0</xdr:col>
                    <xdr:colOff>0</xdr:colOff>
                    <xdr:row>8</xdr:row>
                    <xdr:rowOff>0</xdr:rowOff>
                  </from>
                  <to>
                    <xdr:col>3</xdr:col>
                    <xdr:colOff>0</xdr:colOff>
                    <xdr:row>9</xdr:row>
                    <xdr:rowOff>47625</xdr:rowOff>
                  </to>
                </anchor>
              </controlPr>
            </control>
          </mc:Choice>
        </mc:AlternateContent>
        <mc:AlternateContent xmlns:mc="http://schemas.openxmlformats.org/markup-compatibility/2006">
          <mc:Choice Requires="x14">
            <control shapeId="72858" r:id="rId5" name="Check Box 154">
              <controlPr defaultSize="0" autoFill="0" autoLine="0" autoPict="0">
                <anchor moveWithCells="1">
                  <from>
                    <xdr:col>0</xdr:col>
                    <xdr:colOff>0</xdr:colOff>
                    <xdr:row>9</xdr:row>
                    <xdr:rowOff>0</xdr:rowOff>
                  </from>
                  <to>
                    <xdr:col>3</xdr:col>
                    <xdr:colOff>0</xdr:colOff>
                    <xdr:row>10</xdr:row>
                    <xdr:rowOff>47625</xdr:rowOff>
                  </to>
                </anchor>
              </controlPr>
            </control>
          </mc:Choice>
        </mc:AlternateContent>
        <mc:AlternateContent xmlns:mc="http://schemas.openxmlformats.org/markup-compatibility/2006">
          <mc:Choice Requires="x14">
            <control shapeId="72859" r:id="rId6" name="Check Box 155">
              <controlPr defaultSize="0" autoFill="0" autoLine="0" autoPict="0">
                <anchor moveWithCells="1">
                  <from>
                    <xdr:col>0</xdr:col>
                    <xdr:colOff>0</xdr:colOff>
                    <xdr:row>10</xdr:row>
                    <xdr:rowOff>0</xdr:rowOff>
                  </from>
                  <to>
                    <xdr:col>3</xdr:col>
                    <xdr:colOff>0</xdr:colOff>
                    <xdr:row>11</xdr:row>
                    <xdr:rowOff>0</xdr:rowOff>
                  </to>
                </anchor>
              </controlPr>
            </control>
          </mc:Choice>
        </mc:AlternateContent>
        <mc:AlternateContent xmlns:mc="http://schemas.openxmlformats.org/markup-compatibility/2006">
          <mc:Choice Requires="x14">
            <control shapeId="72860" r:id="rId7" name="Check Box 156">
              <controlPr defaultSize="0" autoFill="0" autoLine="0" autoPict="0">
                <anchor moveWithCells="1">
                  <from>
                    <xdr:col>0</xdr:col>
                    <xdr:colOff>0</xdr:colOff>
                    <xdr:row>11</xdr:row>
                    <xdr:rowOff>0</xdr:rowOff>
                  </from>
                  <to>
                    <xdr:col>3</xdr:col>
                    <xdr:colOff>0</xdr:colOff>
                    <xdr:row>12</xdr:row>
                    <xdr:rowOff>47625</xdr:rowOff>
                  </to>
                </anchor>
              </controlPr>
            </control>
          </mc:Choice>
        </mc:AlternateContent>
        <mc:AlternateContent xmlns:mc="http://schemas.openxmlformats.org/markup-compatibility/2006">
          <mc:Choice Requires="x14">
            <control shapeId="72861" r:id="rId8" name="Check Box 157">
              <controlPr defaultSize="0" autoFill="0" autoLine="0" autoPict="0">
                <anchor moveWithCells="1">
                  <from>
                    <xdr:col>0</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72862" r:id="rId9" name="Check Box 158">
              <controlPr defaultSize="0" autoFill="0" autoLine="0" autoPict="0">
                <anchor moveWithCells="1">
                  <from>
                    <xdr:col>0</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72863" r:id="rId10" name="Check Box 159">
              <controlPr defaultSize="0" autoFill="0" autoLine="0" autoPict="0">
                <anchor moveWithCells="1">
                  <from>
                    <xdr:col>0</xdr:col>
                    <xdr:colOff>0</xdr:colOff>
                    <xdr:row>14</xdr:row>
                    <xdr:rowOff>0</xdr:rowOff>
                  </from>
                  <to>
                    <xdr:col>3</xdr:col>
                    <xdr:colOff>0</xdr:colOff>
                    <xdr:row>15</xdr:row>
                    <xdr:rowOff>47625</xdr:rowOff>
                  </to>
                </anchor>
              </controlPr>
            </control>
          </mc:Choice>
        </mc:AlternateContent>
        <mc:AlternateContent xmlns:mc="http://schemas.openxmlformats.org/markup-compatibility/2006">
          <mc:Choice Requires="x14">
            <control shapeId="72864" r:id="rId11" name="Check Box 160">
              <controlPr defaultSize="0" autoFill="0" autoLine="0" autoPict="0">
                <anchor moveWithCells="1">
                  <from>
                    <xdr:col>0</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72865" r:id="rId12" name="Check Box 161">
              <controlPr defaultSize="0" autoFill="0" autoLine="0" autoPict="0">
                <anchor moveWithCells="1">
                  <from>
                    <xdr:col>0</xdr:col>
                    <xdr:colOff>0</xdr:colOff>
                    <xdr:row>16</xdr:row>
                    <xdr:rowOff>0</xdr:rowOff>
                  </from>
                  <to>
                    <xdr:col>3</xdr:col>
                    <xdr:colOff>0</xdr:colOff>
                    <xdr:row>17</xdr:row>
                    <xdr:rowOff>47625</xdr:rowOff>
                  </to>
                </anchor>
              </controlPr>
            </control>
          </mc:Choice>
        </mc:AlternateContent>
        <mc:AlternateContent xmlns:mc="http://schemas.openxmlformats.org/markup-compatibility/2006">
          <mc:Choice Requires="x14">
            <control shapeId="72866" r:id="rId13" name="Check Box 162">
              <controlPr defaultSize="0" autoFill="0" autoLine="0" autoPict="0">
                <anchor moveWithCells="1">
                  <from>
                    <xdr:col>0</xdr:col>
                    <xdr:colOff>0</xdr:colOff>
                    <xdr:row>17</xdr:row>
                    <xdr:rowOff>0</xdr:rowOff>
                  </from>
                  <to>
                    <xdr:col>3</xdr:col>
                    <xdr:colOff>0</xdr:colOff>
                    <xdr:row>18</xdr:row>
                    <xdr:rowOff>47625</xdr:rowOff>
                  </to>
                </anchor>
              </controlPr>
            </control>
          </mc:Choice>
        </mc:AlternateContent>
        <mc:AlternateContent xmlns:mc="http://schemas.openxmlformats.org/markup-compatibility/2006">
          <mc:Choice Requires="x14">
            <control shapeId="72867" r:id="rId14" name="Check Box 163">
              <controlPr defaultSize="0" autoFill="0" autoLine="0" autoPict="0">
                <anchor moveWithCells="1">
                  <from>
                    <xdr:col>0</xdr:col>
                    <xdr:colOff>0</xdr:colOff>
                    <xdr:row>18</xdr:row>
                    <xdr:rowOff>0</xdr:rowOff>
                  </from>
                  <to>
                    <xdr:col>3</xdr:col>
                    <xdr:colOff>0</xdr:colOff>
                    <xdr:row>19</xdr:row>
                    <xdr:rowOff>47625</xdr:rowOff>
                  </to>
                </anchor>
              </controlPr>
            </control>
          </mc:Choice>
        </mc:AlternateContent>
        <mc:AlternateContent xmlns:mc="http://schemas.openxmlformats.org/markup-compatibility/2006">
          <mc:Choice Requires="x14">
            <control shapeId="72868" r:id="rId15" name="Check Box 164">
              <controlPr defaultSize="0" autoFill="0" autoLine="0" autoPict="0">
                <anchor moveWithCells="1">
                  <from>
                    <xdr:col>0</xdr:col>
                    <xdr:colOff>0</xdr:colOff>
                    <xdr:row>19</xdr:row>
                    <xdr:rowOff>0</xdr:rowOff>
                  </from>
                  <to>
                    <xdr:col>3</xdr:col>
                    <xdr:colOff>0</xdr:colOff>
                    <xdr:row>20</xdr:row>
                    <xdr:rowOff>47625</xdr:rowOff>
                  </to>
                </anchor>
              </controlPr>
            </control>
          </mc:Choice>
        </mc:AlternateContent>
        <mc:AlternateContent xmlns:mc="http://schemas.openxmlformats.org/markup-compatibility/2006">
          <mc:Choice Requires="x14">
            <control shapeId="72869" r:id="rId16" name="Check Box 165">
              <controlPr defaultSize="0" autoFill="0" autoLine="0" autoPict="0">
                <anchor moveWithCells="1">
                  <from>
                    <xdr:col>0</xdr:col>
                    <xdr:colOff>0</xdr:colOff>
                    <xdr:row>20</xdr:row>
                    <xdr:rowOff>0</xdr:rowOff>
                  </from>
                  <to>
                    <xdr:col>3</xdr:col>
                    <xdr:colOff>0</xdr:colOff>
                    <xdr:row>21</xdr:row>
                    <xdr:rowOff>47625</xdr:rowOff>
                  </to>
                </anchor>
              </controlPr>
            </control>
          </mc:Choice>
        </mc:AlternateContent>
        <mc:AlternateContent xmlns:mc="http://schemas.openxmlformats.org/markup-compatibility/2006">
          <mc:Choice Requires="x14">
            <control shapeId="72870" r:id="rId17" name="Check Box 166">
              <controlPr defaultSize="0" autoFill="0" autoLine="0" autoPict="0">
                <anchor moveWithCells="1">
                  <from>
                    <xdr:col>0</xdr:col>
                    <xdr:colOff>0</xdr:colOff>
                    <xdr:row>21</xdr:row>
                    <xdr:rowOff>0</xdr:rowOff>
                  </from>
                  <to>
                    <xdr:col>3</xdr:col>
                    <xdr:colOff>0</xdr:colOff>
                    <xdr:row>22</xdr:row>
                    <xdr:rowOff>0</xdr:rowOff>
                  </to>
                </anchor>
              </controlPr>
            </control>
          </mc:Choice>
        </mc:AlternateContent>
        <mc:AlternateContent xmlns:mc="http://schemas.openxmlformats.org/markup-compatibility/2006">
          <mc:Choice Requires="x14">
            <control shapeId="72871" r:id="rId18" name="Check Box 167">
              <controlPr defaultSize="0" autoFill="0" autoLine="0" autoPict="0">
                <anchor moveWithCells="1">
                  <from>
                    <xdr:col>0</xdr:col>
                    <xdr:colOff>0</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72872" r:id="rId19" name="Check Box 168">
              <controlPr defaultSize="0" autoFill="0" autoLine="0" autoPict="0">
                <anchor moveWithCells="1">
                  <from>
                    <xdr:col>0</xdr:col>
                    <xdr:colOff>0</xdr:colOff>
                    <xdr:row>23</xdr:row>
                    <xdr:rowOff>0</xdr:rowOff>
                  </from>
                  <to>
                    <xdr:col>3</xdr:col>
                    <xdr:colOff>0</xdr:colOff>
                    <xdr:row>24</xdr:row>
                    <xdr:rowOff>47625</xdr:rowOff>
                  </to>
                </anchor>
              </controlPr>
            </control>
          </mc:Choice>
        </mc:AlternateContent>
        <mc:AlternateContent xmlns:mc="http://schemas.openxmlformats.org/markup-compatibility/2006">
          <mc:Choice Requires="x14">
            <control shapeId="72873" r:id="rId20" name="Check Box 169">
              <controlPr defaultSize="0" autoFill="0" autoLine="0" autoPict="0">
                <anchor moveWithCells="1">
                  <from>
                    <xdr:col>0</xdr:col>
                    <xdr:colOff>0</xdr:colOff>
                    <xdr:row>24</xdr:row>
                    <xdr:rowOff>0</xdr:rowOff>
                  </from>
                  <to>
                    <xdr:col>3</xdr:col>
                    <xdr:colOff>0</xdr:colOff>
                    <xdr:row>25</xdr:row>
                    <xdr:rowOff>47625</xdr:rowOff>
                  </to>
                </anchor>
              </controlPr>
            </control>
          </mc:Choice>
        </mc:AlternateContent>
        <mc:AlternateContent xmlns:mc="http://schemas.openxmlformats.org/markup-compatibility/2006">
          <mc:Choice Requires="x14">
            <control shapeId="72874" r:id="rId21" name="Check Box 170">
              <controlPr defaultSize="0" autoFill="0" autoLine="0" autoPict="0">
                <anchor moveWithCells="1">
                  <from>
                    <xdr:col>0</xdr:col>
                    <xdr:colOff>0</xdr:colOff>
                    <xdr:row>25</xdr:row>
                    <xdr:rowOff>0</xdr:rowOff>
                  </from>
                  <to>
                    <xdr:col>3</xdr:col>
                    <xdr:colOff>0</xdr:colOff>
                    <xdr:row>26</xdr:row>
                    <xdr:rowOff>47625</xdr:rowOff>
                  </to>
                </anchor>
              </controlPr>
            </control>
          </mc:Choice>
        </mc:AlternateContent>
        <mc:AlternateContent xmlns:mc="http://schemas.openxmlformats.org/markup-compatibility/2006">
          <mc:Choice Requires="x14">
            <control shapeId="72875" r:id="rId22" name="Check Box 171">
              <controlPr defaultSize="0" autoFill="0" autoLine="0" autoPict="0">
                <anchor moveWithCells="1">
                  <from>
                    <xdr:col>0</xdr:col>
                    <xdr:colOff>0</xdr:colOff>
                    <xdr:row>26</xdr:row>
                    <xdr:rowOff>0</xdr:rowOff>
                  </from>
                  <to>
                    <xdr:col>3</xdr:col>
                    <xdr:colOff>0</xdr:colOff>
                    <xdr:row>27</xdr:row>
                    <xdr:rowOff>47625</xdr:rowOff>
                  </to>
                </anchor>
              </controlPr>
            </control>
          </mc:Choice>
        </mc:AlternateContent>
        <mc:AlternateContent xmlns:mc="http://schemas.openxmlformats.org/markup-compatibility/2006">
          <mc:Choice Requires="x14">
            <control shapeId="72876" r:id="rId23" name="Check Box 172">
              <controlPr defaultSize="0" autoFill="0" autoLine="0" autoPict="0">
                <anchor moveWithCells="1">
                  <from>
                    <xdr:col>0</xdr:col>
                    <xdr:colOff>0</xdr:colOff>
                    <xdr:row>27</xdr:row>
                    <xdr:rowOff>0</xdr:rowOff>
                  </from>
                  <to>
                    <xdr:col>3</xdr:col>
                    <xdr:colOff>0</xdr:colOff>
                    <xdr:row>28</xdr:row>
                    <xdr:rowOff>47625</xdr:rowOff>
                  </to>
                </anchor>
              </controlPr>
            </control>
          </mc:Choice>
        </mc:AlternateContent>
        <mc:AlternateContent xmlns:mc="http://schemas.openxmlformats.org/markup-compatibility/2006">
          <mc:Choice Requires="x14">
            <control shapeId="72877" r:id="rId24" name="Check Box 173">
              <controlPr defaultSize="0" autoFill="0" autoLine="0" autoPict="0">
                <anchor moveWithCells="1">
                  <from>
                    <xdr:col>0</xdr:col>
                    <xdr:colOff>0</xdr:colOff>
                    <xdr:row>28</xdr:row>
                    <xdr:rowOff>0</xdr:rowOff>
                  </from>
                  <to>
                    <xdr:col>3</xdr:col>
                    <xdr:colOff>0</xdr:colOff>
                    <xdr:row>29</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40"/>
  <sheetViews>
    <sheetView workbookViewId="0">
      <selection sqref="A1:C1"/>
    </sheetView>
  </sheetViews>
  <sheetFormatPr defaultColWidth="9.1328125" defaultRowHeight="14.25" x14ac:dyDescent="0.45"/>
  <cols>
    <col min="1" max="1" width="22.1328125" style="1" customWidth="1"/>
    <col min="2" max="2" width="13.265625" style="1" customWidth="1"/>
    <col min="3" max="3" width="103.1328125" style="1" bestFit="1" customWidth="1"/>
    <col min="4" max="4" width="36.265625" style="1" hidden="1" customWidth="1"/>
    <col min="5" max="7" width="9.1328125" style="1" hidden="1" customWidth="1"/>
    <col min="8" max="16384" width="9.1328125" style="1"/>
  </cols>
  <sheetData>
    <row r="1" spans="1:7" ht="18" x14ac:dyDescent="0.55000000000000004">
      <c r="A1" s="194" t="str">
        <f>CONCATENATE(Title, " ", Version)</f>
        <v>COMSCC 2025 v13.2</v>
      </c>
      <c r="B1" s="194"/>
      <c r="C1" s="194"/>
      <c r="D1" s="34"/>
    </row>
    <row r="3" spans="1:7" ht="28.5" customHeight="1" x14ac:dyDescent="0.45">
      <c r="A3" s="101" t="s">
        <v>100</v>
      </c>
    </row>
    <row r="4" spans="1:7" x14ac:dyDescent="0.45">
      <c r="D4" s="1" t="s">
        <v>634</v>
      </c>
      <c r="F4" s="94" t="s">
        <v>608</v>
      </c>
      <c r="G4" s="95">
        <v>1</v>
      </c>
    </row>
    <row r="5" spans="1:7" x14ac:dyDescent="0.45">
      <c r="A5" s="24" t="s">
        <v>63</v>
      </c>
      <c r="F5" s="94" t="s">
        <v>609</v>
      </c>
      <c r="G5" s="95">
        <f>7/8</f>
        <v>0.875</v>
      </c>
    </row>
    <row r="6" spans="1:7" x14ac:dyDescent="0.45">
      <c r="A6" s="3" t="s">
        <v>448</v>
      </c>
      <c r="F6" s="94" t="s">
        <v>610</v>
      </c>
      <c r="G6" s="95">
        <v>0.75</v>
      </c>
    </row>
    <row r="7" spans="1:7" x14ac:dyDescent="0.45">
      <c r="F7" s="94" t="s">
        <v>617</v>
      </c>
      <c r="G7" s="95">
        <f>2/3</f>
        <v>0.66666666666666663</v>
      </c>
    </row>
    <row r="8" spans="1:7" x14ac:dyDescent="0.45">
      <c r="A8" s="11" t="s">
        <v>114</v>
      </c>
      <c r="B8" s="11" t="s">
        <v>115</v>
      </c>
      <c r="C8" s="11" t="s">
        <v>1</v>
      </c>
      <c r="F8" s="94" t="s">
        <v>611</v>
      </c>
      <c r="G8" s="95">
        <f>5/8</f>
        <v>0.625</v>
      </c>
    </row>
    <row r="9" spans="1:7" x14ac:dyDescent="0.45">
      <c r="A9" s="6" t="s">
        <v>64</v>
      </c>
      <c r="B9" s="10" t="str">
        <f ca="1">Car_Base_Weight</f>
        <v/>
      </c>
      <c r="C9" s="6" t="s">
        <v>263</v>
      </c>
      <c r="D9"/>
      <c r="F9" s="94" t="s">
        <v>612</v>
      </c>
      <c r="G9" s="95">
        <v>0.5</v>
      </c>
    </row>
    <row r="10" spans="1:7" ht="28.9" customHeight="1" x14ac:dyDescent="0.45">
      <c r="A10" s="6" t="s">
        <v>65</v>
      </c>
      <c r="B10" s="42"/>
      <c r="C10" s="6" t="s">
        <v>116</v>
      </c>
      <c r="F10" s="94" t="s">
        <v>613</v>
      </c>
      <c r="G10" s="95">
        <f>3/8</f>
        <v>0.375</v>
      </c>
    </row>
    <row r="11" spans="1:7" x14ac:dyDescent="0.45">
      <c r="A11" s="8" t="s">
        <v>66</v>
      </c>
      <c r="B11" s="9">
        <f>IF(B10, B10-B9, 0)</f>
        <v>0</v>
      </c>
      <c r="C11" s="6"/>
      <c r="F11" s="94" t="s">
        <v>616</v>
      </c>
      <c r="G11" s="95">
        <f>1/3</f>
        <v>0.33333333333333331</v>
      </c>
    </row>
    <row r="12" spans="1:7" ht="14.65" thickBot="1" x14ac:dyDescent="0.5">
      <c r="A12" s="141"/>
      <c r="B12" s="142"/>
      <c r="F12" s="94" t="s">
        <v>614</v>
      </c>
      <c r="G12" s="95">
        <v>0.25</v>
      </c>
    </row>
    <row r="13" spans="1:7" ht="28.9" thickBot="1" x14ac:dyDescent="0.5">
      <c r="A13" s="140" t="s">
        <v>67</v>
      </c>
      <c r="B13" s="106" t="str">
        <f>IF(ISNUMBER(Competition_Weight),INT(((Competition_Weight/(2/3*Factory_Rated_HP+1/3*Factory_Rated_Torque))*-4.25+112+INDEX(Selected_Vehicle,12)-Showroom_Assessment_Points)*100)/100, "Enter Weight")</f>
        <v>Enter Weight</v>
      </c>
      <c r="F13" s="94" t="s">
        <v>615</v>
      </c>
      <c r="G13" s="95">
        <f>1/8</f>
        <v>0.125</v>
      </c>
    </row>
    <row r="14" spans="1:7" x14ac:dyDescent="0.45">
      <c r="F14" s="94" t="s">
        <v>628</v>
      </c>
      <c r="G14" s="95">
        <v>0</v>
      </c>
    </row>
    <row r="16" spans="1:7" x14ac:dyDescent="0.45">
      <c r="A16" s="48" t="s">
        <v>685</v>
      </c>
      <c r="C16" s="2"/>
    </row>
    <row r="17" spans="1:7" x14ac:dyDescent="0.45">
      <c r="A17" s="3" t="s">
        <v>623</v>
      </c>
      <c r="C17" s="2"/>
    </row>
    <row r="18" spans="1:7" x14ac:dyDescent="0.45">
      <c r="A18" s="11" t="s">
        <v>98</v>
      </c>
      <c r="B18" s="11" t="s">
        <v>624</v>
      </c>
      <c r="C18" s="11" t="s">
        <v>1</v>
      </c>
      <c r="F18" s="1" t="s">
        <v>604</v>
      </c>
      <c r="G18" s="1">
        <v>6.2</v>
      </c>
    </row>
    <row r="19" spans="1:7" ht="15" customHeight="1" x14ac:dyDescent="0.45">
      <c r="A19" s="20" t="s">
        <v>625</v>
      </c>
      <c r="B19" s="47"/>
      <c r="C19" s="20" t="s">
        <v>632</v>
      </c>
      <c r="F19" s="1" t="s">
        <v>605</v>
      </c>
      <c r="G19" s="1">
        <v>7.1</v>
      </c>
    </row>
    <row r="20" spans="1:7" x14ac:dyDescent="0.45">
      <c r="A20" s="20" t="s">
        <v>603</v>
      </c>
      <c r="B20" s="47"/>
      <c r="C20" s="20" t="s">
        <v>619</v>
      </c>
      <c r="D20" s="1" t="b">
        <f>ISBLANK(BallastLocation)</f>
        <v>1</v>
      </c>
    </row>
    <row r="21" spans="1:7" x14ac:dyDescent="0.45">
      <c r="A21" s="20" t="s">
        <v>606</v>
      </c>
      <c r="B21" s="54" t="s">
        <v>604</v>
      </c>
      <c r="C21" s="17" t="s">
        <v>630</v>
      </c>
      <c r="E21" s="1">
        <f>VLOOKUP(B21,F18:G19,2, FALSE)</f>
        <v>6.2</v>
      </c>
    </row>
    <row r="22" spans="1:7" x14ac:dyDescent="0.45">
      <c r="A22" s="6" t="s">
        <v>607</v>
      </c>
      <c r="B22" s="98" t="s">
        <v>612</v>
      </c>
      <c r="C22" s="6" t="s">
        <v>618</v>
      </c>
      <c r="E22" s="1">
        <f>VLOOKUP(B22,FuelLevelTable, 2, FALSE)</f>
        <v>0.5</v>
      </c>
    </row>
    <row r="23" spans="1:7" x14ac:dyDescent="0.45">
      <c r="A23" s="6" t="s">
        <v>621</v>
      </c>
      <c r="B23" s="47"/>
      <c r="C23" s="6" t="s">
        <v>622</v>
      </c>
    </row>
    <row r="24" spans="1:7" x14ac:dyDescent="0.45">
      <c r="A24" s="6" t="s">
        <v>620</v>
      </c>
      <c r="B24" s="6">
        <f>B23*FuelAmount*PoundsPerGallon</f>
        <v>0</v>
      </c>
      <c r="C24" s="6"/>
    </row>
    <row r="26" spans="1:7" x14ac:dyDescent="0.45">
      <c r="A26" s="24" t="s">
        <v>626</v>
      </c>
    </row>
    <row r="27" spans="1:7" x14ac:dyDescent="0.45">
      <c r="A27" s="6" t="s">
        <v>607</v>
      </c>
      <c r="B27" s="98" t="s">
        <v>612</v>
      </c>
      <c r="C27" s="6" t="s">
        <v>629</v>
      </c>
      <c r="E27" s="1">
        <f>VLOOKUP(B27,FuelLevelTable, 2, FALSE)</f>
        <v>0.5</v>
      </c>
    </row>
    <row r="28" spans="1:7" x14ac:dyDescent="0.45">
      <c r="A28" s="6" t="s">
        <v>627</v>
      </c>
      <c r="B28" s="99">
        <f>(B23*E27*PoundsPerGallon)-(B23*FuelAmount*PoundsPerGallon)</f>
        <v>0</v>
      </c>
      <c r="C28" s="6"/>
    </row>
    <row r="30" spans="1:7" x14ac:dyDescent="0.45">
      <c r="A30" s="1" t="s">
        <v>68</v>
      </c>
    </row>
    <row r="31" spans="1:7" x14ac:dyDescent="0.45">
      <c r="A31" s="1" t="s">
        <v>481</v>
      </c>
    </row>
    <row r="32" spans="1:7" x14ac:dyDescent="0.45">
      <c r="A32" s="1" t="s">
        <v>796</v>
      </c>
    </row>
    <row r="34" spans="1:3" x14ac:dyDescent="0.45">
      <c r="A34" s="198" t="s">
        <v>797</v>
      </c>
      <c r="B34" s="198"/>
      <c r="C34" s="198"/>
    </row>
    <row r="35" spans="1:3" x14ac:dyDescent="0.45">
      <c r="A35" s="198"/>
      <c r="B35" s="198"/>
      <c r="C35" s="198"/>
    </row>
    <row r="36" spans="1:3" x14ac:dyDescent="0.45">
      <c r="A36" s="198"/>
      <c r="B36" s="198"/>
      <c r="C36" s="198"/>
    </row>
    <row r="37" spans="1:3" x14ac:dyDescent="0.45">
      <c r="A37" s="198"/>
      <c r="B37" s="198"/>
      <c r="C37" s="198"/>
    </row>
    <row r="38" spans="1:3" x14ac:dyDescent="0.45">
      <c r="A38" s="198"/>
      <c r="B38" s="198"/>
      <c r="C38" s="198"/>
    </row>
    <row r="39" spans="1:3" x14ac:dyDescent="0.45">
      <c r="A39" s="198"/>
      <c r="B39" s="198"/>
      <c r="C39" s="198"/>
    </row>
    <row r="40" spans="1:3" ht="28.5" x14ac:dyDescent="0.45">
      <c r="A40" s="101" t="s">
        <v>110</v>
      </c>
      <c r="B40" s="5" t="s">
        <v>111</v>
      </c>
    </row>
  </sheetData>
  <sheetProtection algorithmName="SHA-512" hashValue="duH+crCCLxY5vkCSZq+SivIcXznzpvpgdIVMsEmqbU2+tAqYCu3WMc3F/7mBQ0ZLc4W4Z+PC999JefbD+T3C0w==" saltValue="/anCPRQzsFD0CBaEssxGUg==" spinCount="100000" sheet="1" objects="1" scenarios="1"/>
  <mergeCells count="2">
    <mergeCell ref="A1:C1"/>
    <mergeCell ref="A34:C39"/>
  </mergeCells>
  <conditionalFormatting sqref="B10">
    <cfRule type="cellIs" dxfId="86" priority="5" operator="greaterThan">
      <formula>0</formula>
    </cfRule>
  </conditionalFormatting>
  <conditionalFormatting sqref="B19">
    <cfRule type="expression" dxfId="85" priority="4" stopIfTrue="1">
      <formula>IF(ISNUMBER(B19), TRUE, FALSE)</formula>
    </cfRule>
  </conditionalFormatting>
  <conditionalFormatting sqref="B20">
    <cfRule type="expression" dxfId="84" priority="2" stopIfTrue="1">
      <formula>IF(NOT(ISBLANK(B20)), TRUE, FALSE)</formula>
    </cfRule>
  </conditionalFormatting>
  <conditionalFormatting sqref="B23">
    <cfRule type="expression" dxfId="83" priority="1" stopIfTrue="1">
      <formula>IF(ISNUMBER(B23), TRUE, FALSE)</formula>
    </cfRule>
  </conditionalFormatting>
  <dataValidations disablePrompts="1" count="2">
    <dataValidation type="list" allowBlank="1" showInputMessage="1" showErrorMessage="1" sqref="B21" xr:uid="{00000000-0002-0000-0800-000000000000}">
      <formula1>FuelType</formula1>
    </dataValidation>
    <dataValidation type="list" allowBlank="1" showInputMessage="1" showErrorMessage="1" sqref="B27 B22" xr:uid="{00000000-0002-0000-0800-000001000000}">
      <formula1>$F$4:$F$14</formula1>
    </dataValidation>
  </dataValidations>
  <hyperlinks>
    <hyperlink ref="A3" location="Summary!A1" display="Touring Class Summary" xr:uid="{00000000-0004-0000-0800-000000000000}"/>
    <hyperlink ref="A40" location="Exterior!A1" display="Go to previous sheet (Exterior)" xr:uid="{00000000-0004-0000-0800-000001000000}"/>
    <hyperlink ref="B40" location="Tires!A1" display="Go to next sheet (Tires)" xr:uid="{00000000-0004-0000-0800-000002000000}"/>
  </hyperlinks>
  <pageMargins left="0.7" right="0.7" top="0.75" bottom="0.75" header="0.3" footer="0.3"/>
  <pageSetup scale="91"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99"/>
  <sheetViews>
    <sheetView workbookViewId="0">
      <selection activeCell="A3" sqref="A3"/>
    </sheetView>
  </sheetViews>
  <sheetFormatPr defaultColWidth="9.1328125" defaultRowHeight="14.25" x14ac:dyDescent="0.45"/>
  <cols>
    <col min="1" max="1" width="16.73046875" style="1" bestFit="1" customWidth="1"/>
    <col min="2" max="2" width="14.86328125" style="1" customWidth="1"/>
    <col min="3" max="3" width="39.86328125" style="1" bestFit="1" customWidth="1"/>
    <col min="4" max="9" width="9.1328125" style="1" hidden="1" customWidth="1"/>
    <col min="10" max="15" width="9.1328125" style="1" customWidth="1"/>
    <col min="16" max="16384" width="9.1328125" style="1"/>
  </cols>
  <sheetData>
    <row r="1" spans="1:9" ht="18" x14ac:dyDescent="0.55000000000000004">
      <c r="A1" s="194" t="str">
        <f>CONCATENATE(Title, " ", Version)</f>
        <v>COMSCC 2025 v13.2</v>
      </c>
      <c r="B1" s="194"/>
      <c r="C1" s="194"/>
      <c r="D1" s="34"/>
      <c r="E1" s="34"/>
      <c r="F1" s="34"/>
    </row>
    <row r="3" spans="1:9" ht="28.5" x14ac:dyDescent="0.45">
      <c r="A3" s="101" t="s">
        <v>100</v>
      </c>
    </row>
    <row r="5" spans="1:9" x14ac:dyDescent="0.45">
      <c r="A5" s="24" t="s">
        <v>113</v>
      </c>
    </row>
    <row r="6" spans="1:9" x14ac:dyDescent="0.45">
      <c r="A6" s="3" t="s">
        <v>342</v>
      </c>
    </row>
    <row r="7" spans="1:9" x14ac:dyDescent="0.45">
      <c r="A7" s="3" t="s">
        <v>537</v>
      </c>
    </row>
    <row r="8" spans="1:9" x14ac:dyDescent="0.45">
      <c r="A8" s="108" t="s">
        <v>633</v>
      </c>
      <c r="B8" s="11" t="s">
        <v>0</v>
      </c>
      <c r="C8" s="11" t="s">
        <v>1</v>
      </c>
      <c r="F8" s="1" t="e">
        <f ca="1">OFFSET(C9:C73, MATCH(TRUE, D9:D73, 0)-1, 0, 1, 1)</f>
        <v>#N/A</v>
      </c>
      <c r="G8" s="1" t="b">
        <f>IF(D74&gt;1,TRUE,FALSE)</f>
        <v>0</v>
      </c>
    </row>
    <row r="9" spans="1:9" x14ac:dyDescent="0.45">
      <c r="A9" s="42"/>
      <c r="B9" s="136">
        <v>15</v>
      </c>
      <c r="C9" s="137" t="s">
        <v>69</v>
      </c>
      <c r="D9" s="43" t="b">
        <v>0</v>
      </c>
      <c r="E9" s="43" t="b">
        <v>0</v>
      </c>
      <c r="F9" s="1">
        <f>IF(D9, B9, 0)</f>
        <v>0</v>
      </c>
      <c r="G9" s="1" t="s">
        <v>343</v>
      </c>
      <c r="I9" s="1" t="b">
        <f>AND(D9,$G$8)</f>
        <v>0</v>
      </c>
    </row>
    <row r="10" spans="1:9" x14ac:dyDescent="0.45">
      <c r="A10" s="42"/>
      <c r="B10" s="136">
        <v>10</v>
      </c>
      <c r="C10" s="137" t="s">
        <v>775</v>
      </c>
      <c r="D10" s="43" t="b">
        <v>0</v>
      </c>
      <c r="E10" s="43" t="b">
        <v>0</v>
      </c>
      <c r="F10" s="1">
        <f t="shared" ref="F10:F16" si="0">IF(D10, B10, 0)</f>
        <v>0</v>
      </c>
      <c r="G10" s="1" t="s">
        <v>343</v>
      </c>
      <c r="I10" s="1" t="b">
        <f t="shared" ref="I10:I16" si="1">AND(D10,$G$8)</f>
        <v>0</v>
      </c>
    </row>
    <row r="11" spans="1:9" x14ac:dyDescent="0.45">
      <c r="A11" s="42"/>
      <c r="B11" s="136">
        <v>10</v>
      </c>
      <c r="C11" s="137" t="s">
        <v>443</v>
      </c>
      <c r="D11" s="43" t="b">
        <v>0</v>
      </c>
      <c r="E11" s="43" t="b">
        <v>0</v>
      </c>
      <c r="F11" s="1">
        <f t="shared" si="0"/>
        <v>0</v>
      </c>
      <c r="G11" s="1" t="s">
        <v>343</v>
      </c>
      <c r="I11" s="1" t="b">
        <f t="shared" si="1"/>
        <v>0</v>
      </c>
    </row>
    <row r="12" spans="1:9" x14ac:dyDescent="0.45">
      <c r="A12" s="42"/>
      <c r="B12" s="136">
        <v>10</v>
      </c>
      <c r="C12" s="137" t="s">
        <v>776</v>
      </c>
      <c r="D12" s="43" t="b">
        <v>0</v>
      </c>
      <c r="E12" s="43" t="b">
        <v>0</v>
      </c>
      <c r="F12" s="1">
        <f t="shared" si="0"/>
        <v>0</v>
      </c>
      <c r="G12" s="1" t="s">
        <v>343</v>
      </c>
      <c r="I12" s="1" t="b">
        <f t="shared" si="1"/>
        <v>0</v>
      </c>
    </row>
    <row r="13" spans="1:9" x14ac:dyDescent="0.45">
      <c r="A13" s="42"/>
      <c r="B13" s="136">
        <v>10</v>
      </c>
      <c r="C13" s="137" t="s">
        <v>668</v>
      </c>
      <c r="D13" s="43" t="b">
        <v>0</v>
      </c>
      <c r="E13" s="43" t="b">
        <v>0</v>
      </c>
      <c r="F13" s="1">
        <f t="shared" si="0"/>
        <v>0</v>
      </c>
      <c r="G13" s="1" t="s">
        <v>343</v>
      </c>
      <c r="I13" s="1" t="b">
        <f t="shared" si="1"/>
        <v>0</v>
      </c>
    </row>
    <row r="14" spans="1:9" x14ac:dyDescent="0.45">
      <c r="A14" s="42"/>
      <c r="B14" s="136">
        <v>10</v>
      </c>
      <c r="C14" s="137" t="s">
        <v>667</v>
      </c>
      <c r="D14" s="43" t="b">
        <v>0</v>
      </c>
      <c r="E14" s="43" t="b">
        <v>0</v>
      </c>
      <c r="F14" s="1">
        <f t="shared" si="0"/>
        <v>0</v>
      </c>
      <c r="G14" s="1" t="s">
        <v>343</v>
      </c>
      <c r="I14" s="1" t="b">
        <f t="shared" si="1"/>
        <v>0</v>
      </c>
    </row>
    <row r="15" spans="1:9" x14ac:dyDescent="0.45">
      <c r="A15" s="42"/>
      <c r="B15" s="136">
        <v>10</v>
      </c>
      <c r="C15" s="138" t="s">
        <v>763</v>
      </c>
      <c r="D15" s="43" t="b">
        <v>0</v>
      </c>
      <c r="E15" s="43" t="b">
        <v>0</v>
      </c>
      <c r="F15" s="1">
        <f t="shared" si="0"/>
        <v>0</v>
      </c>
      <c r="G15" s="1" t="s">
        <v>343</v>
      </c>
      <c r="I15" s="1" t="b">
        <f t="shared" si="1"/>
        <v>0</v>
      </c>
    </row>
    <row r="16" spans="1:9" x14ac:dyDescent="0.45">
      <c r="A16" s="42"/>
      <c r="B16" s="136">
        <v>10</v>
      </c>
      <c r="C16" s="138" t="s">
        <v>762</v>
      </c>
      <c r="D16" s="43" t="b">
        <v>0</v>
      </c>
      <c r="E16" s="43" t="b">
        <v>0</v>
      </c>
      <c r="F16" s="1">
        <f t="shared" si="0"/>
        <v>0</v>
      </c>
      <c r="G16" s="1" t="s">
        <v>343</v>
      </c>
      <c r="I16" s="1" t="b">
        <f t="shared" si="1"/>
        <v>0</v>
      </c>
    </row>
    <row r="17" spans="1:9" x14ac:dyDescent="0.45">
      <c r="A17" s="42"/>
      <c r="B17" s="136">
        <v>6</v>
      </c>
      <c r="C17" s="137" t="s">
        <v>669</v>
      </c>
      <c r="D17" s="43" t="b">
        <v>0</v>
      </c>
      <c r="E17" s="43" t="b">
        <v>0</v>
      </c>
      <c r="F17" s="1">
        <f>IF(D17, B17, 0)</f>
        <v>0</v>
      </c>
      <c r="G17" s="1" t="s">
        <v>343</v>
      </c>
      <c r="I17" s="1" t="b">
        <f>AND(D17,$G$8)</f>
        <v>0</v>
      </c>
    </row>
    <row r="18" spans="1:9" x14ac:dyDescent="0.45">
      <c r="A18" s="42"/>
      <c r="B18" s="136">
        <v>6</v>
      </c>
      <c r="C18" s="137" t="s">
        <v>812</v>
      </c>
      <c r="D18" s="43" t="b">
        <v>0</v>
      </c>
      <c r="E18" s="43" t="b">
        <v>0</v>
      </c>
      <c r="F18" s="1">
        <f t="shared" ref="F18:F71" si="2">IF(D18, B18, 0)</f>
        <v>0</v>
      </c>
      <c r="G18" s="1" t="s">
        <v>343</v>
      </c>
      <c r="I18" s="1" t="b">
        <f t="shared" ref="I18:I71" si="3">AND(D18,$G$8)</f>
        <v>0</v>
      </c>
    </row>
    <row r="19" spans="1:9" x14ac:dyDescent="0.45">
      <c r="A19" s="42"/>
      <c r="B19" s="136">
        <v>6</v>
      </c>
      <c r="C19" s="137" t="s">
        <v>813</v>
      </c>
      <c r="D19" s="43" t="b">
        <v>0</v>
      </c>
      <c r="E19" s="43" t="b">
        <v>0</v>
      </c>
      <c r="F19" s="1">
        <f>IF(D19, B19, 0)</f>
        <v>0</v>
      </c>
      <c r="G19" s="1" t="s">
        <v>343</v>
      </c>
      <c r="I19" s="1" t="b">
        <f>AND(D19,$G$8)</f>
        <v>0</v>
      </c>
    </row>
    <row r="20" spans="1:9" x14ac:dyDescent="0.45">
      <c r="A20" s="42"/>
      <c r="B20" s="136">
        <v>6</v>
      </c>
      <c r="C20" s="137" t="s">
        <v>777</v>
      </c>
      <c r="D20" s="43" t="b">
        <v>0</v>
      </c>
      <c r="E20" s="43" t="b">
        <v>0</v>
      </c>
      <c r="F20" s="1">
        <f>IF(D20, B20, 0)</f>
        <v>0</v>
      </c>
      <c r="G20" s="1" t="s">
        <v>343</v>
      </c>
      <c r="I20" s="1" t="b">
        <f>AND(D20,$G$8)</f>
        <v>0</v>
      </c>
    </row>
    <row r="21" spans="1:9" x14ac:dyDescent="0.45">
      <c r="A21" s="42"/>
      <c r="B21" s="136">
        <v>6</v>
      </c>
      <c r="C21" s="137" t="s">
        <v>670</v>
      </c>
      <c r="D21" s="43" t="b">
        <v>0</v>
      </c>
      <c r="E21" s="43" t="b">
        <v>0</v>
      </c>
      <c r="F21" s="1">
        <f t="shared" si="2"/>
        <v>0</v>
      </c>
      <c r="G21" s="1" t="s">
        <v>343</v>
      </c>
      <c r="I21" s="1" t="b">
        <f t="shared" si="3"/>
        <v>0</v>
      </c>
    </row>
    <row r="22" spans="1:9" x14ac:dyDescent="0.45">
      <c r="A22" s="42"/>
      <c r="B22" s="136">
        <v>6</v>
      </c>
      <c r="C22" s="137" t="s">
        <v>70</v>
      </c>
      <c r="D22" s="43" t="b">
        <v>0</v>
      </c>
      <c r="E22" s="43" t="b">
        <v>0</v>
      </c>
      <c r="F22" s="1">
        <f t="shared" si="2"/>
        <v>0</v>
      </c>
      <c r="G22" s="1" t="s">
        <v>343</v>
      </c>
      <c r="I22" s="1" t="b">
        <f t="shared" si="3"/>
        <v>0</v>
      </c>
    </row>
    <row r="23" spans="1:9" x14ac:dyDescent="0.45">
      <c r="A23" s="42"/>
      <c r="B23" s="136">
        <v>6</v>
      </c>
      <c r="C23" s="137" t="s">
        <v>814</v>
      </c>
      <c r="D23" s="43" t="b">
        <v>0</v>
      </c>
      <c r="E23" s="43" t="b">
        <v>0</v>
      </c>
      <c r="F23" s="1">
        <f t="shared" si="2"/>
        <v>0</v>
      </c>
      <c r="G23" s="1" t="s">
        <v>343</v>
      </c>
      <c r="I23" s="1" t="b">
        <f t="shared" si="3"/>
        <v>0</v>
      </c>
    </row>
    <row r="24" spans="1:9" x14ac:dyDescent="0.45">
      <c r="A24" s="42"/>
      <c r="B24" s="136">
        <v>6</v>
      </c>
      <c r="C24" s="137" t="s">
        <v>515</v>
      </c>
      <c r="D24" s="43" t="b">
        <v>0</v>
      </c>
      <c r="E24" s="43" t="b">
        <v>0</v>
      </c>
      <c r="F24" s="1">
        <f>IF(D24, B24, 0)</f>
        <v>0</v>
      </c>
      <c r="G24" s="1" t="s">
        <v>343</v>
      </c>
      <c r="I24" s="1" t="b">
        <f>AND(D24,$G$8)</f>
        <v>0</v>
      </c>
    </row>
    <row r="25" spans="1:9" x14ac:dyDescent="0.45">
      <c r="A25" s="42"/>
      <c r="B25" s="136">
        <v>2.5</v>
      </c>
      <c r="C25" s="137" t="s">
        <v>444</v>
      </c>
      <c r="D25" s="43" t="b">
        <v>0</v>
      </c>
      <c r="E25" s="43" t="b">
        <v>0</v>
      </c>
      <c r="F25" s="1">
        <f t="shared" si="2"/>
        <v>0</v>
      </c>
      <c r="G25" s="1" t="s">
        <v>343</v>
      </c>
      <c r="I25" s="1" t="b">
        <f t="shared" si="3"/>
        <v>0</v>
      </c>
    </row>
    <row r="26" spans="1:9" ht="14.25" customHeight="1" x14ac:dyDescent="0.45">
      <c r="A26" s="42"/>
      <c r="B26" s="136">
        <v>2.5</v>
      </c>
      <c r="C26" s="137" t="s">
        <v>510</v>
      </c>
      <c r="D26" s="43" t="b">
        <v>0</v>
      </c>
      <c r="E26" s="43" t="b">
        <v>0</v>
      </c>
      <c r="F26" s="1">
        <f t="shared" si="2"/>
        <v>0</v>
      </c>
      <c r="G26" s="1" t="s">
        <v>343</v>
      </c>
      <c r="I26" s="1" t="b">
        <f t="shared" si="3"/>
        <v>0</v>
      </c>
    </row>
    <row r="27" spans="1:9" ht="14.25" customHeight="1" x14ac:dyDescent="0.45">
      <c r="A27" s="42"/>
      <c r="B27" s="136">
        <v>0</v>
      </c>
      <c r="C27" s="137" t="s">
        <v>815</v>
      </c>
      <c r="D27" s="43" t="b">
        <v>0</v>
      </c>
      <c r="E27" s="43" t="b">
        <v>0</v>
      </c>
      <c r="F27" s="1">
        <f t="shared" si="2"/>
        <v>0</v>
      </c>
      <c r="G27" s="1" t="s">
        <v>343</v>
      </c>
      <c r="I27" s="1" t="b">
        <f t="shared" si="3"/>
        <v>0</v>
      </c>
    </row>
    <row r="28" spans="1:9" x14ac:dyDescent="0.45">
      <c r="A28" s="42"/>
      <c r="B28" s="136">
        <v>0</v>
      </c>
      <c r="C28" s="137" t="s">
        <v>710</v>
      </c>
      <c r="D28" s="43" t="b">
        <v>0</v>
      </c>
      <c r="E28" s="43" t="b">
        <v>0</v>
      </c>
      <c r="F28" s="1">
        <f t="shared" si="2"/>
        <v>0</v>
      </c>
      <c r="G28" s="1" t="s">
        <v>343</v>
      </c>
      <c r="I28" s="1" t="b">
        <f t="shared" si="3"/>
        <v>0</v>
      </c>
    </row>
    <row r="29" spans="1:9" x14ac:dyDescent="0.45">
      <c r="A29" s="42"/>
      <c r="B29" s="136">
        <v>0</v>
      </c>
      <c r="C29" s="137" t="s">
        <v>672</v>
      </c>
      <c r="D29" s="43" t="b">
        <v>0</v>
      </c>
      <c r="E29" s="43" t="b">
        <v>0</v>
      </c>
      <c r="F29" s="1">
        <f>IF(D29, B29, 0)</f>
        <v>0</v>
      </c>
      <c r="G29" s="1" t="s">
        <v>343</v>
      </c>
      <c r="I29" s="1" t="b">
        <f>AND(D29,$G$8)</f>
        <v>0</v>
      </c>
    </row>
    <row r="30" spans="1:9" x14ac:dyDescent="0.45">
      <c r="A30" s="42"/>
      <c r="B30" s="136">
        <v>0</v>
      </c>
      <c r="C30" s="137" t="s">
        <v>671</v>
      </c>
      <c r="D30" s="43" t="b">
        <v>0</v>
      </c>
      <c r="E30" s="43" t="b">
        <v>0</v>
      </c>
      <c r="F30" s="1">
        <f t="shared" si="2"/>
        <v>0</v>
      </c>
      <c r="G30" s="1" t="s">
        <v>343</v>
      </c>
      <c r="I30" s="1" t="b">
        <f t="shared" si="3"/>
        <v>0</v>
      </c>
    </row>
    <row r="31" spans="1:9" x14ac:dyDescent="0.45">
      <c r="A31" s="42"/>
      <c r="B31" s="136">
        <v>0</v>
      </c>
      <c r="C31" s="137" t="s">
        <v>764</v>
      </c>
      <c r="D31" s="43" t="b">
        <v>0</v>
      </c>
      <c r="E31" s="43" t="b">
        <v>0</v>
      </c>
      <c r="F31" s="1">
        <f t="shared" si="2"/>
        <v>0</v>
      </c>
      <c r="G31" s="1" t="s">
        <v>343</v>
      </c>
      <c r="I31" s="1" t="b">
        <f t="shared" si="3"/>
        <v>0</v>
      </c>
    </row>
    <row r="32" spans="1:9" x14ac:dyDescent="0.45">
      <c r="A32" s="42"/>
      <c r="B32" s="136">
        <v>0</v>
      </c>
      <c r="C32" s="138" t="s">
        <v>766</v>
      </c>
      <c r="D32" s="43" t="b">
        <v>0</v>
      </c>
      <c r="E32" s="43" t="b">
        <v>0</v>
      </c>
      <c r="F32" s="1">
        <f>IF(D32, B32, 0)</f>
        <v>0</v>
      </c>
      <c r="G32" s="1" t="s">
        <v>343</v>
      </c>
      <c r="I32" s="1" t="b">
        <f>AND(D32,$G$8)</f>
        <v>0</v>
      </c>
    </row>
    <row r="33" spans="1:9" x14ac:dyDescent="0.45">
      <c r="A33" s="42"/>
      <c r="B33" s="136">
        <v>0</v>
      </c>
      <c r="C33" s="137" t="s">
        <v>779</v>
      </c>
      <c r="D33" s="43" t="b">
        <v>0</v>
      </c>
      <c r="E33" s="43" t="b">
        <v>0</v>
      </c>
      <c r="F33" s="1">
        <f>IF(D33, B33, 0)</f>
        <v>0</v>
      </c>
      <c r="G33" s="1" t="s">
        <v>343</v>
      </c>
      <c r="I33" s="1" t="b">
        <f>AND(D33,$G$8)</f>
        <v>0</v>
      </c>
    </row>
    <row r="34" spans="1:9" x14ac:dyDescent="0.45">
      <c r="A34" s="42"/>
      <c r="B34" s="136">
        <v>-1</v>
      </c>
      <c r="C34" s="137" t="s">
        <v>365</v>
      </c>
      <c r="D34" s="43" t="b">
        <v>0</v>
      </c>
      <c r="E34" s="43" t="b">
        <v>0</v>
      </c>
      <c r="F34" s="1">
        <f>IF(D34, B34, 0)</f>
        <v>0</v>
      </c>
      <c r="G34" s="1" t="s">
        <v>343</v>
      </c>
      <c r="I34" s="1" t="b">
        <f>AND(D34,$G$8)</f>
        <v>0</v>
      </c>
    </row>
    <row r="35" spans="1:9" x14ac:dyDescent="0.45">
      <c r="A35" s="42"/>
      <c r="B35" s="136">
        <v>-1.5</v>
      </c>
      <c r="C35" s="144" t="s">
        <v>831</v>
      </c>
      <c r="D35" s="43" t="b">
        <v>0</v>
      </c>
      <c r="E35" s="43" t="b">
        <v>0</v>
      </c>
      <c r="F35" s="1">
        <f t="shared" ref="F35:F37" si="4">IF(D35, B35, 0)</f>
        <v>0</v>
      </c>
      <c r="G35" s="1" t="s">
        <v>343</v>
      </c>
      <c r="I35" s="1" t="b">
        <f t="shared" ref="I35:I36" si="5">AND(D35,$G$8)</f>
        <v>0</v>
      </c>
    </row>
    <row r="36" spans="1:9" x14ac:dyDescent="0.45">
      <c r="A36" s="42"/>
      <c r="B36" s="136">
        <v>-1.5</v>
      </c>
      <c r="C36" s="144" t="s">
        <v>830</v>
      </c>
      <c r="D36" s="43" t="b">
        <v>0</v>
      </c>
      <c r="E36" s="43" t="b">
        <v>0</v>
      </c>
      <c r="F36" s="1">
        <f t="shared" si="4"/>
        <v>0</v>
      </c>
      <c r="G36" s="1" t="s">
        <v>343</v>
      </c>
      <c r="I36" s="1" t="b">
        <f t="shared" si="5"/>
        <v>0</v>
      </c>
    </row>
    <row r="37" spans="1:9" x14ac:dyDescent="0.45">
      <c r="A37" s="42"/>
      <c r="B37" s="136">
        <v>-1.5</v>
      </c>
      <c r="C37" s="137" t="s">
        <v>829</v>
      </c>
      <c r="D37" s="43" t="b">
        <v>0</v>
      </c>
      <c r="E37" s="43" t="b">
        <v>0</v>
      </c>
      <c r="F37" s="1">
        <f t="shared" si="4"/>
        <v>0</v>
      </c>
      <c r="G37" s="1" t="s">
        <v>343</v>
      </c>
      <c r="I37" s="1" t="b">
        <f>AND(D37,$G$8)</f>
        <v>0</v>
      </c>
    </row>
    <row r="38" spans="1:9" x14ac:dyDescent="0.45">
      <c r="A38" s="42"/>
      <c r="B38" s="136">
        <v>-1.5</v>
      </c>
      <c r="C38" s="137" t="s">
        <v>816</v>
      </c>
      <c r="D38" s="43" t="b">
        <v>0</v>
      </c>
      <c r="E38" s="43" t="b">
        <v>0</v>
      </c>
      <c r="F38" s="1">
        <f t="shared" si="2"/>
        <v>0</v>
      </c>
      <c r="G38" s="1" t="s">
        <v>343</v>
      </c>
      <c r="I38" s="1" t="b">
        <f t="shared" si="3"/>
        <v>0</v>
      </c>
    </row>
    <row r="39" spans="1:9" ht="13.9" customHeight="1" x14ac:dyDescent="0.45">
      <c r="A39" s="42"/>
      <c r="B39" s="136">
        <v>-1.5</v>
      </c>
      <c r="C39" s="137" t="s">
        <v>767</v>
      </c>
      <c r="D39" s="43" t="b">
        <v>0</v>
      </c>
      <c r="E39" s="43" t="b">
        <v>0</v>
      </c>
      <c r="F39" s="1">
        <f t="shared" si="2"/>
        <v>0</v>
      </c>
      <c r="G39" s="1" t="s">
        <v>343</v>
      </c>
      <c r="I39" s="1" t="b">
        <f t="shared" si="3"/>
        <v>0</v>
      </c>
    </row>
    <row r="40" spans="1:9" x14ac:dyDescent="0.45">
      <c r="A40" s="42"/>
      <c r="B40" s="136">
        <v>-1.5</v>
      </c>
      <c r="C40" s="137" t="s">
        <v>826</v>
      </c>
      <c r="D40" s="43" t="b">
        <v>0</v>
      </c>
      <c r="E40" s="43" t="b">
        <v>0</v>
      </c>
      <c r="F40" s="1">
        <f t="shared" si="2"/>
        <v>0</v>
      </c>
      <c r="G40" s="1" t="s">
        <v>343</v>
      </c>
      <c r="I40" s="1" t="b">
        <f t="shared" si="3"/>
        <v>0</v>
      </c>
    </row>
    <row r="41" spans="1:9" x14ac:dyDescent="0.45">
      <c r="A41" s="42"/>
      <c r="B41" s="136">
        <v>-2.5</v>
      </c>
      <c r="C41" s="137" t="s">
        <v>596</v>
      </c>
      <c r="D41" s="43" t="b">
        <v>0</v>
      </c>
      <c r="E41" s="43" t="b">
        <v>0</v>
      </c>
      <c r="F41" s="1">
        <f t="shared" si="2"/>
        <v>0</v>
      </c>
      <c r="G41" s="1" t="s">
        <v>343</v>
      </c>
      <c r="I41" s="1" t="b">
        <f t="shared" si="3"/>
        <v>0</v>
      </c>
    </row>
    <row r="42" spans="1:9" x14ac:dyDescent="0.45">
      <c r="A42" s="42"/>
      <c r="B42" s="136">
        <v>-2.5</v>
      </c>
      <c r="C42" s="137" t="s">
        <v>769</v>
      </c>
      <c r="D42" s="43" t="b">
        <v>0</v>
      </c>
      <c r="E42" s="43" t="b">
        <v>0</v>
      </c>
      <c r="F42" s="1">
        <f>IF(D42, B42, 0)</f>
        <v>0</v>
      </c>
      <c r="G42" s="1" t="s">
        <v>343</v>
      </c>
      <c r="I42" s="1" t="b">
        <f>AND(D42,$G$8)</f>
        <v>0</v>
      </c>
    </row>
    <row r="43" spans="1:9" x14ac:dyDescent="0.45">
      <c r="A43" s="42"/>
      <c r="B43" s="136">
        <v>-2.5</v>
      </c>
      <c r="C43" s="137" t="s">
        <v>673</v>
      </c>
      <c r="D43" s="43" t="b">
        <v>0</v>
      </c>
      <c r="E43" s="43" t="b">
        <v>0</v>
      </c>
      <c r="F43" s="1">
        <f>IF(D43, B43, 0)</f>
        <v>0</v>
      </c>
      <c r="G43" s="1" t="s">
        <v>343</v>
      </c>
      <c r="I43" s="1" t="b">
        <f>AND(D43,$G$8)</f>
        <v>0</v>
      </c>
    </row>
    <row r="44" spans="1:9" ht="14.25" customHeight="1" x14ac:dyDescent="0.45">
      <c r="A44" s="42"/>
      <c r="B44" s="136">
        <v>-2.5</v>
      </c>
      <c r="C44" s="137" t="s">
        <v>817</v>
      </c>
      <c r="D44" s="43" t="b">
        <v>0</v>
      </c>
      <c r="E44" s="43" t="b">
        <v>0</v>
      </c>
      <c r="F44" s="1">
        <f>IF(D44, B44, 0)</f>
        <v>0</v>
      </c>
      <c r="G44" s="1" t="s">
        <v>343</v>
      </c>
      <c r="I44" s="1" t="b">
        <f>AND(D44,$G$8)</f>
        <v>0</v>
      </c>
    </row>
    <row r="45" spans="1:9" x14ac:dyDescent="0.45">
      <c r="A45" s="42"/>
      <c r="B45" s="136">
        <v>-2.5</v>
      </c>
      <c r="C45" s="137" t="s">
        <v>778</v>
      </c>
      <c r="D45" s="43" t="b">
        <v>0</v>
      </c>
      <c r="E45" s="43" t="b">
        <v>0</v>
      </c>
      <c r="F45" s="1">
        <f>IF(D45, B45, 0)</f>
        <v>0</v>
      </c>
      <c r="G45" s="1" t="s">
        <v>343</v>
      </c>
      <c r="I45" s="1" t="b">
        <f>AND(D45,$G$8)</f>
        <v>0</v>
      </c>
    </row>
    <row r="46" spans="1:9" x14ac:dyDescent="0.45">
      <c r="A46" s="42"/>
      <c r="B46" s="136">
        <v>-2.5</v>
      </c>
      <c r="C46" s="137" t="s">
        <v>541</v>
      </c>
      <c r="D46" s="43" t="b">
        <v>0</v>
      </c>
      <c r="E46" s="43" t="b">
        <v>0</v>
      </c>
      <c r="F46" s="1">
        <f>IF(D46, B46, 0)</f>
        <v>0</v>
      </c>
      <c r="G46" s="1" t="s">
        <v>343</v>
      </c>
      <c r="I46" s="1" t="b">
        <f>AND(D46,$G$8)</f>
        <v>0</v>
      </c>
    </row>
    <row r="47" spans="1:9" x14ac:dyDescent="0.45">
      <c r="A47" s="42"/>
      <c r="B47" s="136">
        <v>-2.5</v>
      </c>
      <c r="C47" s="137" t="s">
        <v>770</v>
      </c>
      <c r="D47" s="43" t="b">
        <v>0</v>
      </c>
      <c r="E47" s="43" t="b">
        <v>0</v>
      </c>
      <c r="F47" s="1">
        <f t="shared" si="2"/>
        <v>0</v>
      </c>
      <c r="G47" s="1" t="s">
        <v>343</v>
      </c>
      <c r="I47" s="1" t="b">
        <f t="shared" si="3"/>
        <v>0</v>
      </c>
    </row>
    <row r="48" spans="1:9" x14ac:dyDescent="0.45">
      <c r="A48" s="42"/>
      <c r="B48" s="136">
        <v>-2.5</v>
      </c>
      <c r="C48" s="137" t="s">
        <v>765</v>
      </c>
      <c r="D48" s="43" t="b">
        <v>0</v>
      </c>
      <c r="E48" s="43" t="b">
        <v>0</v>
      </c>
      <c r="F48" s="1">
        <f>IF(D48, B48, 0)</f>
        <v>0</v>
      </c>
      <c r="G48" s="1" t="s">
        <v>343</v>
      </c>
      <c r="I48" s="1" t="b">
        <f>AND(D48,$G$8)</f>
        <v>0</v>
      </c>
    </row>
    <row r="49" spans="1:14" x14ac:dyDescent="0.45">
      <c r="A49" s="42"/>
      <c r="B49" s="136">
        <v>-2.5</v>
      </c>
      <c r="C49" s="137" t="s">
        <v>780</v>
      </c>
      <c r="D49" s="43" t="b">
        <v>0</v>
      </c>
      <c r="E49" s="43" t="b">
        <v>0</v>
      </c>
      <c r="F49" s="1">
        <f>IF(D49, B49, 0)</f>
        <v>0</v>
      </c>
      <c r="G49" s="1" t="s">
        <v>343</v>
      </c>
      <c r="I49" s="1" t="b">
        <f>AND(D49,$G$8)</f>
        <v>0</v>
      </c>
    </row>
    <row r="50" spans="1:14" x14ac:dyDescent="0.45">
      <c r="A50" s="42"/>
      <c r="B50" s="136">
        <v>-2.5</v>
      </c>
      <c r="C50" s="137" t="s">
        <v>818</v>
      </c>
      <c r="D50" s="43" t="b">
        <v>0</v>
      </c>
      <c r="E50" s="43" t="b">
        <v>0</v>
      </c>
      <c r="F50" s="1">
        <f>IF(D50, B50, 0)</f>
        <v>0</v>
      </c>
      <c r="G50" s="1" t="s">
        <v>343</v>
      </c>
      <c r="I50" s="1" t="b">
        <f>AND(D50,$G$8)</f>
        <v>0</v>
      </c>
    </row>
    <row r="51" spans="1:14" x14ac:dyDescent="0.45">
      <c r="A51" s="42"/>
      <c r="B51" s="136">
        <v>-2.5</v>
      </c>
      <c r="C51" s="137" t="s">
        <v>819</v>
      </c>
      <c r="D51" s="43" t="b">
        <v>0</v>
      </c>
      <c r="E51" s="43" t="b">
        <v>0</v>
      </c>
      <c r="F51" s="1">
        <f>IF(D51, B51, 0)</f>
        <v>0</v>
      </c>
      <c r="G51" s="1" t="s">
        <v>343</v>
      </c>
      <c r="I51" s="1" t="b">
        <f>AND(D51,$G$8)</f>
        <v>0</v>
      </c>
    </row>
    <row r="52" spans="1:14" x14ac:dyDescent="0.45">
      <c r="A52" s="42"/>
      <c r="B52" s="136">
        <v>-2.5</v>
      </c>
      <c r="C52" s="144" t="s">
        <v>833</v>
      </c>
      <c r="D52" s="43" t="b">
        <v>0</v>
      </c>
      <c r="E52" s="43" t="b">
        <v>0</v>
      </c>
      <c r="F52" s="1">
        <f t="shared" ref="F52:F53" si="6">IF(D52, B52, 0)</f>
        <v>0</v>
      </c>
      <c r="G52" s="1" t="s">
        <v>343</v>
      </c>
      <c r="I52" s="1" t="b">
        <f t="shared" ref="I52:I56" si="7">AND(D52,$G$8)</f>
        <v>0</v>
      </c>
    </row>
    <row r="53" spans="1:14" x14ac:dyDescent="0.45">
      <c r="A53" s="42"/>
      <c r="B53" s="136">
        <v>-2.5</v>
      </c>
      <c r="C53" s="144" t="s">
        <v>832</v>
      </c>
      <c r="D53" s="43" t="b">
        <v>0</v>
      </c>
      <c r="E53" s="43" t="b">
        <v>0</v>
      </c>
      <c r="F53" s="1">
        <f t="shared" si="6"/>
        <v>0</v>
      </c>
      <c r="G53" s="1" t="s">
        <v>343</v>
      </c>
      <c r="I53" s="1" t="b">
        <f t="shared" si="7"/>
        <v>0</v>
      </c>
    </row>
    <row r="54" spans="1:14" x14ac:dyDescent="0.45">
      <c r="A54" s="42"/>
      <c r="B54" s="136">
        <v>-2.5</v>
      </c>
      <c r="C54" s="137" t="s">
        <v>768</v>
      </c>
      <c r="D54" s="43" t="b">
        <v>0</v>
      </c>
      <c r="E54" s="43" t="b">
        <v>0</v>
      </c>
      <c r="F54" s="1">
        <f>IF(D54, B54, 0)</f>
        <v>0</v>
      </c>
      <c r="G54" s="1" t="s">
        <v>343</v>
      </c>
      <c r="I54" s="1" t="b">
        <f t="shared" si="7"/>
        <v>0</v>
      </c>
    </row>
    <row r="55" spans="1:14" x14ac:dyDescent="0.45">
      <c r="A55" s="42"/>
      <c r="B55" s="136">
        <v>-2.5</v>
      </c>
      <c r="C55" s="137" t="s">
        <v>836</v>
      </c>
      <c r="D55" s="43" t="b">
        <v>0</v>
      </c>
      <c r="E55" s="43" t="b">
        <v>0</v>
      </c>
      <c r="F55" s="1">
        <f>IF(D55, B55, 0)</f>
        <v>0</v>
      </c>
      <c r="G55" s="1" t="s">
        <v>343</v>
      </c>
      <c r="I55" s="1" t="b">
        <f>AND(D55,$G$8)</f>
        <v>0</v>
      </c>
    </row>
    <row r="56" spans="1:14" x14ac:dyDescent="0.45">
      <c r="A56" s="42"/>
      <c r="B56" s="136">
        <v>-3.5</v>
      </c>
      <c r="C56" s="137" t="s">
        <v>820</v>
      </c>
      <c r="D56" s="43" t="b">
        <v>0</v>
      </c>
      <c r="E56" s="43" t="b">
        <v>0</v>
      </c>
      <c r="F56" s="1">
        <f t="shared" si="2"/>
        <v>0</v>
      </c>
      <c r="G56" s="1" t="s">
        <v>343</v>
      </c>
      <c r="I56" s="1" t="b">
        <f t="shared" si="7"/>
        <v>0</v>
      </c>
    </row>
    <row r="57" spans="1:14" x14ac:dyDescent="0.45">
      <c r="A57" s="42"/>
      <c r="B57" s="136">
        <v>-3.5</v>
      </c>
      <c r="C57" s="137" t="s">
        <v>771</v>
      </c>
      <c r="D57" s="43" t="b">
        <v>0</v>
      </c>
      <c r="E57" s="43" t="b">
        <v>0</v>
      </c>
      <c r="F57" s="1">
        <f>IF(D57, B57, 0)</f>
        <v>0</v>
      </c>
      <c r="G57" s="1" t="s">
        <v>343</v>
      </c>
      <c r="I57" s="1" t="b">
        <f>AND(D57,$G$8)</f>
        <v>0</v>
      </c>
    </row>
    <row r="58" spans="1:14" x14ac:dyDescent="0.45">
      <c r="A58" s="42"/>
      <c r="B58" s="136">
        <v>-3.5</v>
      </c>
      <c r="C58" s="137" t="s">
        <v>71</v>
      </c>
      <c r="D58" s="43" t="b">
        <v>0</v>
      </c>
      <c r="E58" s="43" t="b">
        <v>0</v>
      </c>
      <c r="F58" s="1">
        <f>IF(D58, B58, 0)</f>
        <v>0</v>
      </c>
      <c r="G58" s="1" t="s">
        <v>343</v>
      </c>
      <c r="I58" s="1" t="b">
        <f>AND(D58,$G$8)</f>
        <v>0</v>
      </c>
    </row>
    <row r="59" spans="1:14" x14ac:dyDescent="0.45">
      <c r="A59" s="42"/>
      <c r="B59" s="136">
        <v>-3.5</v>
      </c>
      <c r="C59" s="137" t="s">
        <v>674</v>
      </c>
      <c r="D59" s="43" t="b">
        <v>0</v>
      </c>
      <c r="E59" s="43" t="b">
        <v>0</v>
      </c>
      <c r="F59" s="1">
        <f t="shared" si="2"/>
        <v>0</v>
      </c>
      <c r="G59" s="1" t="s">
        <v>343</v>
      </c>
      <c r="I59" s="1" t="b">
        <f t="shared" si="3"/>
        <v>0</v>
      </c>
    </row>
    <row r="60" spans="1:14" x14ac:dyDescent="0.45">
      <c r="A60" s="42"/>
      <c r="B60" s="136">
        <v>-3.5</v>
      </c>
      <c r="C60" s="137" t="s">
        <v>716</v>
      </c>
      <c r="D60" s="43" t="b">
        <v>0</v>
      </c>
      <c r="E60" s="43" t="b">
        <v>0</v>
      </c>
      <c r="F60" s="1">
        <f t="shared" si="2"/>
        <v>0</v>
      </c>
      <c r="G60" s="1" t="s">
        <v>343</v>
      </c>
      <c r="I60" s="1" t="b">
        <f t="shared" si="3"/>
        <v>0</v>
      </c>
    </row>
    <row r="61" spans="1:14" x14ac:dyDescent="0.45">
      <c r="A61" s="42"/>
      <c r="B61" s="136">
        <v>-3.5</v>
      </c>
      <c r="C61" s="137" t="s">
        <v>711</v>
      </c>
      <c r="D61" s="43" t="b">
        <v>0</v>
      </c>
      <c r="E61" s="43" t="b">
        <v>0</v>
      </c>
      <c r="F61" s="1">
        <f t="shared" si="2"/>
        <v>0</v>
      </c>
      <c r="G61" s="1" t="s">
        <v>343</v>
      </c>
      <c r="I61" s="1" t="b">
        <f t="shared" si="3"/>
        <v>0</v>
      </c>
      <c r="M61" s="8" t="s">
        <v>456</v>
      </c>
      <c r="N61" s="8" t="s">
        <v>715</v>
      </c>
    </row>
    <row r="62" spans="1:14" x14ac:dyDescent="0.45">
      <c r="A62" s="42"/>
      <c r="B62" s="136">
        <v>-3.5</v>
      </c>
      <c r="C62" s="144" t="s">
        <v>834</v>
      </c>
      <c r="D62" s="43" t="b">
        <v>0</v>
      </c>
      <c r="E62" s="43" t="b">
        <v>0</v>
      </c>
      <c r="F62" s="1">
        <f t="shared" si="2"/>
        <v>0</v>
      </c>
      <c r="G62" s="1" t="s">
        <v>343</v>
      </c>
      <c r="I62" s="1" t="b">
        <f t="shared" si="3"/>
        <v>0</v>
      </c>
      <c r="M62" s="8"/>
      <c r="N62" s="8"/>
    </row>
    <row r="63" spans="1:14" x14ac:dyDescent="0.45">
      <c r="A63" s="42"/>
      <c r="B63" s="136">
        <v>-3.5</v>
      </c>
      <c r="C63" s="137" t="s">
        <v>675</v>
      </c>
      <c r="D63" s="43" t="b">
        <v>0</v>
      </c>
      <c r="E63" s="43" t="b">
        <v>0</v>
      </c>
      <c r="F63" s="1">
        <f t="shared" si="2"/>
        <v>0</v>
      </c>
      <c r="G63" s="1" t="s">
        <v>343</v>
      </c>
      <c r="I63" s="1" t="b">
        <f t="shared" si="3"/>
        <v>0</v>
      </c>
      <c r="M63" s="6" t="s">
        <v>345</v>
      </c>
      <c r="N63" s="6">
        <v>185</v>
      </c>
    </row>
    <row r="64" spans="1:14" x14ac:dyDescent="0.45">
      <c r="A64" s="42"/>
      <c r="B64" s="136">
        <v>-5</v>
      </c>
      <c r="C64" s="144" t="s">
        <v>835</v>
      </c>
      <c r="D64" s="43" t="b">
        <v>0</v>
      </c>
      <c r="E64" s="43" t="b">
        <v>0</v>
      </c>
      <c r="F64" s="1">
        <f t="shared" si="2"/>
        <v>0</v>
      </c>
      <c r="G64" s="1" t="s">
        <v>343</v>
      </c>
      <c r="I64" s="1" t="b">
        <f t="shared" si="3"/>
        <v>0</v>
      </c>
      <c r="M64" s="6" t="s">
        <v>79</v>
      </c>
      <c r="N64" s="6">
        <v>205</v>
      </c>
    </row>
    <row r="65" spans="1:14" x14ac:dyDescent="0.45">
      <c r="A65" s="42"/>
      <c r="B65" s="136">
        <v>-5</v>
      </c>
      <c r="C65" s="137" t="s">
        <v>782</v>
      </c>
      <c r="D65" s="43" t="b">
        <v>0</v>
      </c>
      <c r="E65" s="43" t="b">
        <v>0</v>
      </c>
      <c r="F65" s="1">
        <f t="shared" ref="F65:F68" si="8">IF(D65, B65, 0)</f>
        <v>0</v>
      </c>
      <c r="G65" s="1" t="s">
        <v>343</v>
      </c>
      <c r="I65" s="1" t="b">
        <f t="shared" ref="I65:I68" si="9">AND(D65,$G$8)</f>
        <v>0</v>
      </c>
      <c r="M65" s="6" t="s">
        <v>78</v>
      </c>
      <c r="N65" s="6">
        <v>225</v>
      </c>
    </row>
    <row r="66" spans="1:14" x14ac:dyDescent="0.45">
      <c r="A66" s="42"/>
      <c r="B66" s="136">
        <v>-5</v>
      </c>
      <c r="C66" s="137" t="s">
        <v>784</v>
      </c>
      <c r="D66" s="43" t="b">
        <v>0</v>
      </c>
      <c r="E66" s="43" t="b">
        <v>0</v>
      </c>
      <c r="F66" s="1">
        <f t="shared" si="8"/>
        <v>0</v>
      </c>
      <c r="G66" s="1" t="s">
        <v>343</v>
      </c>
      <c r="I66" s="1" t="b">
        <f t="shared" si="9"/>
        <v>0</v>
      </c>
      <c r="M66" s="6" t="s">
        <v>77</v>
      </c>
      <c r="N66" s="6">
        <v>245</v>
      </c>
    </row>
    <row r="67" spans="1:14" x14ac:dyDescent="0.45">
      <c r="A67" s="42"/>
      <c r="B67" s="136">
        <v>-5</v>
      </c>
      <c r="C67" s="137" t="s">
        <v>783</v>
      </c>
      <c r="D67" s="43" t="b">
        <v>0</v>
      </c>
      <c r="E67" s="43" t="b">
        <v>0</v>
      </c>
      <c r="F67" s="1">
        <f>IF(D67, B67, 0)</f>
        <v>0</v>
      </c>
      <c r="G67" s="1" t="s">
        <v>343</v>
      </c>
      <c r="I67" s="1" t="b">
        <f>AND(D67,$G$8)</f>
        <v>0</v>
      </c>
      <c r="M67" s="6" t="s">
        <v>76</v>
      </c>
      <c r="N67" s="6">
        <v>265</v>
      </c>
    </row>
    <row r="68" spans="1:14" x14ac:dyDescent="0.45">
      <c r="A68" s="42"/>
      <c r="B68" s="136">
        <v>-5</v>
      </c>
      <c r="C68" s="137" t="s">
        <v>676</v>
      </c>
      <c r="D68" s="43" t="b">
        <v>0</v>
      </c>
      <c r="E68" s="43" t="b">
        <v>0</v>
      </c>
      <c r="F68" s="1">
        <f t="shared" si="8"/>
        <v>0</v>
      </c>
      <c r="G68" s="1" t="s">
        <v>343</v>
      </c>
      <c r="I68" s="1" t="b">
        <f t="shared" si="9"/>
        <v>0</v>
      </c>
      <c r="M68" s="6" t="s">
        <v>75</v>
      </c>
      <c r="N68" s="6">
        <v>285</v>
      </c>
    </row>
    <row r="69" spans="1:14" x14ac:dyDescent="0.45">
      <c r="A69" s="42"/>
      <c r="B69" s="136">
        <v>-5</v>
      </c>
      <c r="C69" s="137" t="s">
        <v>781</v>
      </c>
      <c r="D69" s="43" t="b">
        <v>0</v>
      </c>
      <c r="E69" s="43" t="b">
        <v>0</v>
      </c>
      <c r="F69" s="1">
        <f>IF(D69, B69, 0)</f>
        <v>0</v>
      </c>
      <c r="G69" s="1" t="s">
        <v>343</v>
      </c>
      <c r="I69" s="1" t="b">
        <f>AND(D69,$G$8)</f>
        <v>0</v>
      </c>
      <c r="M69" s="6" t="s">
        <v>74</v>
      </c>
      <c r="N69" s="6">
        <v>305</v>
      </c>
    </row>
    <row r="70" spans="1:14" x14ac:dyDescent="0.45">
      <c r="A70" s="42"/>
      <c r="B70" s="136">
        <v>-7</v>
      </c>
      <c r="C70" s="137" t="s">
        <v>772</v>
      </c>
      <c r="D70" s="43" t="b">
        <v>0</v>
      </c>
      <c r="E70" s="43" t="b">
        <v>0</v>
      </c>
      <c r="F70" s="1">
        <f t="shared" si="2"/>
        <v>0</v>
      </c>
      <c r="G70" s="1" t="s">
        <v>343</v>
      </c>
      <c r="I70" s="1" t="b">
        <f t="shared" si="3"/>
        <v>0</v>
      </c>
      <c r="M70" s="6" t="s">
        <v>73</v>
      </c>
      <c r="N70" s="6">
        <v>315</v>
      </c>
    </row>
    <row r="71" spans="1:14" x14ac:dyDescent="0.45">
      <c r="A71" s="42"/>
      <c r="B71" s="136">
        <v>-7</v>
      </c>
      <c r="C71" s="137" t="s">
        <v>773</v>
      </c>
      <c r="D71" s="43" t="b">
        <v>0</v>
      </c>
      <c r="E71" s="43" t="b">
        <v>0</v>
      </c>
      <c r="F71" s="1">
        <f t="shared" si="2"/>
        <v>0</v>
      </c>
      <c r="G71" s="1" t="s">
        <v>343</v>
      </c>
      <c r="I71" s="1" t="b">
        <f t="shared" si="3"/>
        <v>0</v>
      </c>
      <c r="M71" s="6" t="s">
        <v>839</v>
      </c>
      <c r="N71" s="6">
        <v>335</v>
      </c>
    </row>
    <row r="72" spans="1:14" x14ac:dyDescent="0.45">
      <c r="A72" s="42"/>
      <c r="B72" s="136">
        <v>-7</v>
      </c>
      <c r="C72" s="137" t="s">
        <v>678</v>
      </c>
      <c r="D72" s="43" t="b">
        <v>0</v>
      </c>
      <c r="E72" s="43" t="b">
        <v>0</v>
      </c>
      <c r="F72" s="1">
        <f>IF(D72, B72, 0)</f>
        <v>0</v>
      </c>
      <c r="G72" s="1" t="s">
        <v>343</v>
      </c>
      <c r="I72" s="1" t="b">
        <f>AND(D72,$G$8)</f>
        <v>0</v>
      </c>
    </row>
    <row r="73" spans="1:14" x14ac:dyDescent="0.45">
      <c r="A73" s="42"/>
      <c r="B73" s="136">
        <v>-7</v>
      </c>
      <c r="C73" s="137" t="s">
        <v>677</v>
      </c>
      <c r="D73" s="43" t="b">
        <v>0</v>
      </c>
      <c r="E73" s="43" t="b">
        <v>0</v>
      </c>
      <c r="F73" s="1">
        <f>IF(D73, B73, 0)</f>
        <v>0</v>
      </c>
      <c r="G73" s="1" t="s">
        <v>343</v>
      </c>
      <c r="I73" s="1" t="b">
        <f>AND(D73,$G$8)</f>
        <v>0</v>
      </c>
      <c r="M73" s="6"/>
      <c r="N73" s="6"/>
    </row>
    <row r="74" spans="1:14" x14ac:dyDescent="0.45">
      <c r="A74" s="6"/>
      <c r="B74" s="9" t="str">
        <f>IF(D74=0, "Pick one above", IF(G8, "Error multi-select",SUM(F9:F73)))</f>
        <v>Pick one above</v>
      </c>
      <c r="C74" s="6"/>
      <c r="D74" s="1">
        <f>COUNTIF(D9:D73, TRUE)</f>
        <v>0</v>
      </c>
      <c r="G74" s="1" t="str">
        <f ca="1">IF(D74&gt;0, OFFSET(G9:G73, MATCH(TRUE, E9:E73, 0)-1, 0, 1, 1), "Z")</f>
        <v>Z</v>
      </c>
    </row>
    <row r="76" spans="1:14" ht="21.75" customHeight="1" x14ac:dyDescent="0.45">
      <c r="A76" s="126" t="str">
        <f ca="1">IF(Competition_class="T110","Note: The sheet says T110 here to make it work, your proposed class is actually TU","")</f>
        <v/>
      </c>
    </row>
    <row r="77" spans="1:14" ht="35.25" customHeight="1" x14ac:dyDescent="0.45">
      <c r="A77" s="19" t="s">
        <v>712</v>
      </c>
      <c r="B77" s="76" t="str">
        <f ca="1">Classification</f>
        <v/>
      </c>
      <c r="C77" s="124" t="str">
        <f ca="1">Total_Assessment</f>
        <v>No Vehicle</v>
      </c>
      <c r="D77" s="1" t="e">
        <f>HLOOKUP(Tire_Competition_Class, Tire_Class_Width, 2, FALSE)</f>
        <v>#N/A</v>
      </c>
      <c r="G77" s="1">
        <v>10</v>
      </c>
    </row>
    <row r="78" spans="1:14" ht="38.25" customHeight="1" x14ac:dyDescent="0.45">
      <c r="A78" s="19" t="s">
        <v>713</v>
      </c>
      <c r="B78" s="125"/>
      <c r="C78" s="10" t="str">
        <f>IF(ISNUMBER(Tire_spec_width), CONCATENATE("Class spec width ", Tire_spec_width, " mm"),"Select intended competition class")</f>
        <v>Select intended competition class</v>
      </c>
      <c r="G78" s="1">
        <v>10</v>
      </c>
    </row>
    <row r="79" spans="1:14" ht="22.5" customHeight="1" x14ac:dyDescent="0.45">
      <c r="A79" s="11" t="s">
        <v>511</v>
      </c>
      <c r="B79" s="43"/>
      <c r="C79" s="10" t="s">
        <v>513</v>
      </c>
      <c r="F79" s="1">
        <v>235</v>
      </c>
      <c r="G79" s="1">
        <v>15</v>
      </c>
    </row>
    <row r="80" spans="1:14" ht="28.5" hidden="1" x14ac:dyDescent="0.45">
      <c r="A80" s="11" t="s">
        <v>72</v>
      </c>
      <c r="B80" s="42"/>
      <c r="C80" s="20" t="s">
        <v>325</v>
      </c>
    </row>
    <row r="81" spans="1:11" hidden="1" x14ac:dyDescent="0.45">
      <c r="A81" s="11" t="s">
        <v>117</v>
      </c>
      <c r="B81" s="44"/>
    </row>
    <row r="82" spans="1:11" ht="22.5" customHeight="1" x14ac:dyDescent="0.45">
      <c r="A82" s="11" t="s">
        <v>512</v>
      </c>
      <c r="B82" s="44"/>
      <c r="C82" s="10" t="s">
        <v>513</v>
      </c>
      <c r="F82" s="1">
        <v>275</v>
      </c>
      <c r="G82" s="1">
        <v>20</v>
      </c>
    </row>
    <row r="83" spans="1:11" ht="22.5" customHeight="1" x14ac:dyDescent="0.45">
      <c r="A83" s="11" t="s">
        <v>514</v>
      </c>
      <c r="B83" s="105" t="str">
        <f>IF(ISNUMBER(AVERAGE(B79,B82)),AVERAGE(B79,B82),"Enter Width")</f>
        <v>Enter Width</v>
      </c>
      <c r="C83" s="199" t="str">
        <f>IF(G83, "Warning: Selected tire class higher than current assessment", "")</f>
        <v/>
      </c>
      <c r="D83" s="1" t="e">
        <f>Tire_Width-D77</f>
        <v>#VALUE!</v>
      </c>
      <c r="E83" s="1" t="e">
        <f>D83*0.05</f>
        <v>#VALUE!</v>
      </c>
      <c r="G83" s="1" t="b">
        <f>IF(ISBLANK(Tire_Competition_Class),FALSE,IF(HLOOKUP(Tire_Competition_Class, Tire_Class_Width, 2, FALSE)&gt;HLOOKUP(Competition_class, Tire_Class_Width, 2, FALSE),TRUE,FALSE))</f>
        <v>0</v>
      </c>
    </row>
    <row r="84" spans="1:11" ht="18.75" customHeight="1" x14ac:dyDescent="0.45">
      <c r="A84" s="8" t="s">
        <v>0</v>
      </c>
      <c r="B84" s="103" t="str">
        <f>IF(ISBLANK(Tire_Competition_Class),"No Tire",IF(ISNUMBER(E83),E83,"No Width"))</f>
        <v>No Tire</v>
      </c>
      <c r="C84" s="200"/>
    </row>
    <row r="85" spans="1:11" ht="14.65" thickBot="1" x14ac:dyDescent="0.5"/>
    <row r="86" spans="1:11" ht="28.9" thickBot="1" x14ac:dyDescent="0.5">
      <c r="A86" s="23" t="s">
        <v>339</v>
      </c>
      <c r="B86" s="104" t="str">
        <f>IF(AND(ISNUMBER(Tire_Type_Assessment),ISNUMBER(Tire_Width_Assessment)),Tire_Type_Assessment+Tire_Width_Assessment,"No Tire")</f>
        <v>No Tire</v>
      </c>
    </row>
    <row r="87" spans="1:11" x14ac:dyDescent="0.45">
      <c r="I87" s="1" t="e">
        <f>SUM(I94:I99)</f>
        <v>#N/A</v>
      </c>
    </row>
    <row r="88" spans="1:11" ht="42.75" x14ac:dyDescent="0.45">
      <c r="A88" s="101" t="s">
        <v>112</v>
      </c>
      <c r="B88" s="101" t="s">
        <v>262</v>
      </c>
    </row>
    <row r="90" spans="1:11" ht="14.25" hidden="1" customHeight="1" x14ac:dyDescent="0.45"/>
    <row r="91" spans="1:11" hidden="1" x14ac:dyDescent="0.45">
      <c r="C91" s="41" t="s">
        <v>774</v>
      </c>
      <c r="D91" s="41" t="s">
        <v>73</v>
      </c>
      <c r="E91" s="41" t="s">
        <v>74</v>
      </c>
      <c r="F91" s="41" t="s">
        <v>75</v>
      </c>
      <c r="G91" s="41" t="s">
        <v>76</v>
      </c>
      <c r="H91" s="41" t="s">
        <v>77</v>
      </c>
      <c r="I91" s="41" t="s">
        <v>78</v>
      </c>
      <c r="J91" s="41" t="s">
        <v>79</v>
      </c>
      <c r="K91" s="41" t="s">
        <v>345</v>
      </c>
    </row>
    <row r="92" spans="1:11" hidden="1" x14ac:dyDescent="0.45">
      <c r="C92" s="41">
        <v>335</v>
      </c>
      <c r="D92" s="1">
        <v>315</v>
      </c>
      <c r="E92" s="1">
        <v>305</v>
      </c>
      <c r="F92" s="1">
        <v>285</v>
      </c>
      <c r="G92" s="1">
        <v>265</v>
      </c>
      <c r="H92" s="1">
        <v>245</v>
      </c>
      <c r="I92" s="1">
        <v>225</v>
      </c>
      <c r="J92" s="1">
        <v>205</v>
      </c>
      <c r="K92" s="1">
        <v>185</v>
      </c>
    </row>
    <row r="93" spans="1:11" hidden="1" x14ac:dyDescent="0.45"/>
    <row r="94" spans="1:11" x14ac:dyDescent="0.45">
      <c r="G94" s="1" t="e">
        <f>IF(Tire_Width&lt;Tire_spec_width, MIN(0, Tire_Width - MIN(Size_235, Tire_spec_width)), 0)</f>
        <v>#N/A</v>
      </c>
      <c r="H94" s="1">
        <f>per_10</f>
        <v>10</v>
      </c>
      <c r="I94" s="1" t="e">
        <f>IF(G94&lt;0, G94/H94, 0)</f>
        <v>#N/A</v>
      </c>
    </row>
    <row r="95" spans="1:11" x14ac:dyDescent="0.45">
      <c r="G95" s="1" t="e">
        <f>IF(Tire_Width&lt;Tire_spec_width, MIN(0, MAX(Tire_Width,Size_235)-MIN(Tire_spec_width,Size_275)), 0)</f>
        <v>#N/A</v>
      </c>
      <c r="H95" s="1">
        <f>per_15</f>
        <v>15</v>
      </c>
      <c r="I95" s="1" t="e">
        <f>IF(G95&lt;0, G95/H95, 0)</f>
        <v>#N/A</v>
      </c>
    </row>
    <row r="96" spans="1:11" x14ac:dyDescent="0.45">
      <c r="G96" s="1" t="e">
        <f>IF(Tire_Width&lt;Tire_spec_width, MIN(0, MAX(Tire_Width,Size_275)-Tire_spec_width), 0)</f>
        <v>#N/A</v>
      </c>
      <c r="H96" s="1">
        <f>per_20</f>
        <v>20</v>
      </c>
      <c r="I96" s="1" t="e">
        <f>IF(G96&lt;0, G96/H96, 0)</f>
        <v>#N/A</v>
      </c>
    </row>
    <row r="97" spans="7:9" x14ac:dyDescent="0.45">
      <c r="G97" s="1" t="e">
        <f>IF(Tire_Width&gt;Tire_spec_width, MIN(Tire_Width,Size_235)-Tire_spec_width, 0)</f>
        <v>#N/A</v>
      </c>
      <c r="H97" s="1">
        <f>per_10</f>
        <v>10</v>
      </c>
      <c r="I97" s="1" t="e">
        <f>IF(G97&gt;0, G97/H97, 0)</f>
        <v>#N/A</v>
      </c>
    </row>
    <row r="98" spans="7:9" x14ac:dyDescent="0.45">
      <c r="G98" s="1" t="e">
        <f>IF(Tire_Width&gt;Tire_spec_width, MIN(Tire_Width,Size_275)-MAX(Tire_spec_width,Size_235), 0)</f>
        <v>#N/A</v>
      </c>
      <c r="H98" s="1">
        <f>per_15</f>
        <v>15</v>
      </c>
      <c r="I98" s="1" t="e">
        <f>IF(G98&gt;0, G98/H98, 0)</f>
        <v>#N/A</v>
      </c>
    </row>
    <row r="99" spans="7:9" x14ac:dyDescent="0.45">
      <c r="G99" s="1" t="e">
        <f>IF(AND(Tire_Width&gt;Tire_spec_width,Tire_Width&gt;Size_275), Tire_Width-MAX(Tire_spec_width,Size_275), 0)</f>
        <v>#N/A</v>
      </c>
      <c r="H99" s="1">
        <f>per_20</f>
        <v>20</v>
      </c>
      <c r="I99" s="1" t="e">
        <f>IF(G99&gt;0, G99/H99, 0)</f>
        <v>#N/A</v>
      </c>
    </row>
  </sheetData>
  <sheetProtection algorithmName="SHA-512" hashValue="OVyn60+TB6LEh3XAAizrSU6+k3TUWDu9mOfyC6ZigiclDnUVzfGjwk0jVF0sc8ONW3KfkvHyb+e6gIJQMqWL+Q==" saltValue="PaZtt5w8pxSVnLSEVHmFVA==" spinCount="100000" sheet="1" objects="1" scenarios="1"/>
  <mergeCells count="2">
    <mergeCell ref="A1:C1"/>
    <mergeCell ref="C83:C84"/>
  </mergeCells>
  <conditionalFormatting sqref="B74">
    <cfRule type="expression" dxfId="82" priority="1" stopIfTrue="1">
      <formula>($G$8)</formula>
    </cfRule>
  </conditionalFormatting>
  <conditionalFormatting sqref="B79">
    <cfRule type="expression" dxfId="81" priority="793">
      <formula>ISNUMBER($B$79)</formula>
    </cfRule>
  </conditionalFormatting>
  <conditionalFormatting sqref="B80">
    <cfRule type="cellIs" dxfId="80" priority="1011" operator="notEqual">
      <formula>"(Choose)"</formula>
    </cfRule>
  </conditionalFormatting>
  <conditionalFormatting sqref="B82">
    <cfRule type="expression" dxfId="79" priority="792">
      <formula>ISNUMBER($B$82)</formula>
    </cfRule>
  </conditionalFormatting>
  <conditionalFormatting sqref="B9:C9">
    <cfRule type="expression" dxfId="78" priority="1012">
      <formula>$D$9</formula>
    </cfRule>
  </conditionalFormatting>
  <conditionalFormatting sqref="B9:C74">
    <cfRule type="expression" dxfId="77" priority="2" stopIfTrue="1">
      <formula>AND(D9, $G$8)</formula>
    </cfRule>
  </conditionalFormatting>
  <conditionalFormatting sqref="B10:C10">
    <cfRule type="expression" dxfId="76" priority="1013">
      <formula>$D$10</formula>
    </cfRule>
  </conditionalFormatting>
  <conditionalFormatting sqref="B11:C11">
    <cfRule type="expression" dxfId="75" priority="1014">
      <formula>$D$11</formula>
    </cfRule>
  </conditionalFormatting>
  <conditionalFormatting sqref="B12:C12">
    <cfRule type="expression" dxfId="74" priority="1015">
      <formula>$D$12</formula>
    </cfRule>
  </conditionalFormatting>
  <conditionalFormatting sqref="B13:C13">
    <cfRule type="expression" dxfId="73" priority="1016">
      <formula>$D$13</formula>
    </cfRule>
  </conditionalFormatting>
  <conditionalFormatting sqref="B14:C14">
    <cfRule type="expression" dxfId="72" priority="1017">
      <formula>$D$14</formula>
    </cfRule>
  </conditionalFormatting>
  <conditionalFormatting sqref="B15:C15">
    <cfRule type="expression" dxfId="71" priority="1018">
      <formula>$D$15</formula>
    </cfRule>
  </conditionalFormatting>
  <conditionalFormatting sqref="B16:C16">
    <cfRule type="expression" dxfId="70" priority="1019">
      <formula>$D$16</formula>
    </cfRule>
  </conditionalFormatting>
  <conditionalFormatting sqref="B17:C17">
    <cfRule type="expression" dxfId="69" priority="1020">
      <formula>$D$17</formula>
    </cfRule>
  </conditionalFormatting>
  <conditionalFormatting sqref="B18:C18">
    <cfRule type="expression" dxfId="68" priority="1021">
      <formula>$D$18</formula>
    </cfRule>
  </conditionalFormatting>
  <conditionalFormatting sqref="B19:C19">
    <cfRule type="expression" dxfId="67" priority="1022">
      <formula>$D$19</formula>
    </cfRule>
  </conditionalFormatting>
  <conditionalFormatting sqref="B20:C20">
    <cfRule type="expression" dxfId="66" priority="1023">
      <formula>$D$20</formula>
    </cfRule>
  </conditionalFormatting>
  <conditionalFormatting sqref="B21:C21">
    <cfRule type="expression" dxfId="65" priority="1024">
      <formula>$D$21</formula>
    </cfRule>
  </conditionalFormatting>
  <conditionalFormatting sqref="B22:C22">
    <cfRule type="expression" dxfId="64" priority="1025">
      <formula>$D$22</formula>
    </cfRule>
  </conditionalFormatting>
  <conditionalFormatting sqref="B23:C23">
    <cfRule type="expression" dxfId="63" priority="1026">
      <formula>$D$23</formula>
    </cfRule>
  </conditionalFormatting>
  <conditionalFormatting sqref="B24:C24">
    <cfRule type="expression" dxfId="62" priority="1027">
      <formula>$D$24</formula>
    </cfRule>
  </conditionalFormatting>
  <conditionalFormatting sqref="B25:C25">
    <cfRule type="expression" dxfId="61" priority="1028">
      <formula>$D$25</formula>
    </cfRule>
  </conditionalFormatting>
  <conditionalFormatting sqref="B26:C26">
    <cfRule type="expression" dxfId="60" priority="1029">
      <formula>$D$26</formula>
    </cfRule>
  </conditionalFormatting>
  <conditionalFormatting sqref="B27:C27">
    <cfRule type="expression" dxfId="59" priority="1030">
      <formula>$D$27</formula>
    </cfRule>
  </conditionalFormatting>
  <conditionalFormatting sqref="B28:C28">
    <cfRule type="expression" dxfId="58" priority="1031">
      <formula>$D$28</formula>
    </cfRule>
  </conditionalFormatting>
  <conditionalFormatting sqref="B29:C29">
    <cfRule type="expression" dxfId="57" priority="1032">
      <formula>$D$29</formula>
    </cfRule>
  </conditionalFormatting>
  <conditionalFormatting sqref="B30:C30">
    <cfRule type="expression" dxfId="56" priority="1033">
      <formula>$D$30</formula>
    </cfRule>
  </conditionalFormatting>
  <conditionalFormatting sqref="B31:C31">
    <cfRule type="expression" dxfId="55" priority="1034">
      <formula>$D$31</formula>
    </cfRule>
  </conditionalFormatting>
  <conditionalFormatting sqref="B32:C32">
    <cfRule type="expression" dxfId="54" priority="1035">
      <formula>$D$32</formula>
    </cfRule>
  </conditionalFormatting>
  <conditionalFormatting sqref="B33:C33">
    <cfRule type="expression" dxfId="53" priority="1036">
      <formula>$D$33</formula>
    </cfRule>
  </conditionalFormatting>
  <conditionalFormatting sqref="B34:C34">
    <cfRule type="expression" dxfId="52" priority="1037">
      <formula>$D$34</formula>
    </cfRule>
  </conditionalFormatting>
  <conditionalFormatting sqref="B35:C35">
    <cfRule type="expression" dxfId="51" priority="1038">
      <formula>$D$35</formula>
    </cfRule>
  </conditionalFormatting>
  <conditionalFormatting sqref="B36:C36">
    <cfRule type="expression" dxfId="50" priority="1039">
      <formula>$D$36</formula>
    </cfRule>
  </conditionalFormatting>
  <conditionalFormatting sqref="B37:C37">
    <cfRule type="expression" dxfId="49" priority="1040">
      <formula>$D$37</formula>
    </cfRule>
  </conditionalFormatting>
  <conditionalFormatting sqref="B38:C38">
    <cfRule type="expression" dxfId="48" priority="1041">
      <formula>$D$38</formula>
    </cfRule>
  </conditionalFormatting>
  <conditionalFormatting sqref="B39:C39">
    <cfRule type="expression" dxfId="47" priority="1042">
      <formula>$D$39</formula>
    </cfRule>
  </conditionalFormatting>
  <conditionalFormatting sqref="B40:C40">
    <cfRule type="expression" dxfId="46" priority="1043">
      <formula>$D$40</formula>
    </cfRule>
  </conditionalFormatting>
  <conditionalFormatting sqref="B41:C41">
    <cfRule type="expression" dxfId="45" priority="1044">
      <formula>$D$41</formula>
    </cfRule>
  </conditionalFormatting>
  <conditionalFormatting sqref="B42:C42">
    <cfRule type="expression" dxfId="44" priority="1045">
      <formula>$D$42</formula>
    </cfRule>
  </conditionalFormatting>
  <conditionalFormatting sqref="B43:C43">
    <cfRule type="expression" dxfId="43" priority="1046">
      <formula>$D$43</formula>
    </cfRule>
  </conditionalFormatting>
  <conditionalFormatting sqref="B44:C44">
    <cfRule type="expression" dxfId="42" priority="1047">
      <formula>$D$44</formula>
    </cfRule>
  </conditionalFormatting>
  <conditionalFormatting sqref="B45:C45">
    <cfRule type="expression" dxfId="41" priority="1048">
      <formula>$D$45</formula>
    </cfRule>
  </conditionalFormatting>
  <conditionalFormatting sqref="B46:C46">
    <cfRule type="expression" dxfId="40" priority="1049">
      <formula>$D$46</formula>
    </cfRule>
  </conditionalFormatting>
  <conditionalFormatting sqref="B47:C47">
    <cfRule type="expression" dxfId="39" priority="1050">
      <formula>$D$47</formula>
    </cfRule>
  </conditionalFormatting>
  <conditionalFormatting sqref="B48:C48">
    <cfRule type="expression" dxfId="38" priority="1051">
      <formula>$D$48</formula>
    </cfRule>
  </conditionalFormatting>
  <conditionalFormatting sqref="B49:C49">
    <cfRule type="expression" dxfId="37" priority="1052">
      <formula>$D$49</formula>
    </cfRule>
  </conditionalFormatting>
  <conditionalFormatting sqref="B50:C50">
    <cfRule type="expression" dxfId="36" priority="1053">
      <formula>$D$50</formula>
    </cfRule>
  </conditionalFormatting>
  <conditionalFormatting sqref="B51:C51">
    <cfRule type="expression" dxfId="35" priority="1054">
      <formula>$D$51</formula>
    </cfRule>
  </conditionalFormatting>
  <conditionalFormatting sqref="B52:C52">
    <cfRule type="expression" dxfId="34" priority="1055">
      <formula>$D$52</formula>
    </cfRule>
  </conditionalFormatting>
  <conditionalFormatting sqref="B53:C53">
    <cfRule type="expression" dxfId="33" priority="1056">
      <formula>$D$53</formula>
    </cfRule>
  </conditionalFormatting>
  <conditionalFormatting sqref="B54:C54">
    <cfRule type="expression" dxfId="32" priority="1057">
      <formula>$D$54</formula>
    </cfRule>
  </conditionalFormatting>
  <conditionalFormatting sqref="B55:C55">
    <cfRule type="expression" dxfId="31" priority="1058">
      <formula>$D$55</formula>
    </cfRule>
  </conditionalFormatting>
  <conditionalFormatting sqref="B56:C56">
    <cfRule type="expression" dxfId="30" priority="1059">
      <formula>$D$56</formula>
    </cfRule>
  </conditionalFormatting>
  <conditionalFormatting sqref="B57:C57">
    <cfRule type="expression" dxfId="29" priority="1060">
      <formula>$D$57</formula>
    </cfRule>
  </conditionalFormatting>
  <conditionalFormatting sqref="B58:C58">
    <cfRule type="expression" dxfId="28" priority="1061">
      <formula>$D$58</formula>
    </cfRule>
  </conditionalFormatting>
  <conditionalFormatting sqref="B59:C59">
    <cfRule type="expression" dxfId="27" priority="1062">
      <formula>$D$59</formula>
    </cfRule>
  </conditionalFormatting>
  <conditionalFormatting sqref="B60:C60">
    <cfRule type="expression" dxfId="26" priority="1063">
      <formula>$D$60</formula>
    </cfRule>
  </conditionalFormatting>
  <conditionalFormatting sqref="B61:C61">
    <cfRule type="expression" dxfId="25" priority="1064">
      <formula>$D$61</formula>
    </cfRule>
  </conditionalFormatting>
  <conditionalFormatting sqref="B62:C62">
    <cfRule type="expression" dxfId="24" priority="1065">
      <formula>$D$62</formula>
    </cfRule>
  </conditionalFormatting>
  <conditionalFormatting sqref="B63:C63">
    <cfRule type="expression" dxfId="23" priority="1066">
      <formula>$D$63</formula>
    </cfRule>
  </conditionalFormatting>
  <conditionalFormatting sqref="B64:C64">
    <cfRule type="expression" dxfId="22" priority="1067">
      <formula>$D$64</formula>
    </cfRule>
  </conditionalFormatting>
  <conditionalFormatting sqref="B65:C65">
    <cfRule type="expression" dxfId="21" priority="1068">
      <formula>$D$65</formula>
    </cfRule>
  </conditionalFormatting>
  <conditionalFormatting sqref="B66:C66">
    <cfRule type="expression" dxfId="20" priority="1069">
      <formula>$D$66</formula>
    </cfRule>
  </conditionalFormatting>
  <conditionalFormatting sqref="B67:C67">
    <cfRule type="expression" dxfId="19" priority="1070">
      <formula>$D$67</formula>
    </cfRule>
  </conditionalFormatting>
  <conditionalFormatting sqref="B68:C68">
    <cfRule type="expression" dxfId="18" priority="1071">
      <formula>$D$68</formula>
    </cfRule>
  </conditionalFormatting>
  <conditionalFormatting sqref="B69:C69">
    <cfRule type="expression" dxfId="17" priority="1072">
      <formula>$D$69</formula>
    </cfRule>
  </conditionalFormatting>
  <conditionalFormatting sqref="B70:C70">
    <cfRule type="expression" dxfId="16" priority="1073">
      <formula>$D$70</formula>
    </cfRule>
  </conditionalFormatting>
  <conditionalFormatting sqref="B71:C71">
    <cfRule type="expression" dxfId="15" priority="1074">
      <formula>$D$71</formula>
    </cfRule>
  </conditionalFormatting>
  <conditionalFormatting sqref="B72:C72">
    <cfRule type="expression" dxfId="14" priority="1075">
      <formula>$D$72</formula>
    </cfRule>
  </conditionalFormatting>
  <conditionalFormatting sqref="B73:C73">
    <cfRule type="expression" dxfId="13" priority="1076">
      <formula>$D$73</formula>
    </cfRule>
  </conditionalFormatting>
  <conditionalFormatting sqref="C74">
    <cfRule type="expression" dxfId="12" priority="534" stopIfTrue="1">
      <formula>AND(E74, $F$8)</formula>
    </cfRule>
    <cfRule type="expression" dxfId="11" priority="762" stopIfTrue="1">
      <formula>AND(F74, $G$8)</formula>
    </cfRule>
    <cfRule type="expression" dxfId="10" priority="69" stopIfTrue="1">
      <formula>AND(E74, $G$8)</formula>
    </cfRule>
  </conditionalFormatting>
  <conditionalFormatting sqref="C83:C84">
    <cfRule type="expression" dxfId="9" priority="490">
      <formula>$G$83</formula>
    </cfRule>
  </conditionalFormatting>
  <dataValidations count="2">
    <dataValidation type="list" allowBlank="1" showInputMessage="1" showErrorMessage="1" errorTitle="Invalid Touring Class" promptTitle="Select Target Competition Class" prompt="Select Target Competition Class - Select T110 if you want TU, it's the only way I could make the sheet formulas work.. thanks for understanding - Tom C old guy Excel butcher" sqref="B78" xr:uid="{00000000-0002-0000-0900-000000000000}">
      <formula1>$C$91:$K$91</formula1>
    </dataValidation>
    <dataValidation type="list" allowBlank="1" showInputMessage="1" showErrorMessage="1" sqref="A9:A73" xr:uid="{00000000-0002-0000-0900-000001000000}">
      <formula1>"TRUE,FALSE"</formula1>
    </dataValidation>
  </dataValidations>
  <hyperlinks>
    <hyperlink ref="A88" location="Weight!A1" display="Go to previous sheet (Weight Reduction)" xr:uid="{00000000-0004-0000-0900-000000000000}"/>
    <hyperlink ref="B88" location="Summary!A1" display="See Results (Touring Summary)" xr:uid="{00000000-0004-0000-0900-000001000000}"/>
    <hyperlink ref="A3" location="Summary!A1" display="Touring Class Summary" xr:uid="{00000000-0004-0000-0900-000002000000}"/>
  </hyperlinks>
  <pageMargins left="0.7" right="0.7" top="0.75" bottom="0.75" header="0.3" footer="0.3"/>
  <pageSetup scale="88" orientation="landscape"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05" r:id="rId4" name="Check Box 941">
              <controlPr defaultSize="0" autoFill="0" autoLine="0" autoPict="0">
                <anchor moveWithCells="1">
                  <from>
                    <xdr:col>0</xdr:col>
                    <xdr:colOff>0</xdr:colOff>
                    <xdr:row>8</xdr:row>
                    <xdr:rowOff>0</xdr:rowOff>
                  </from>
                  <to>
                    <xdr:col>3</xdr:col>
                    <xdr:colOff>0</xdr:colOff>
                    <xdr:row>9</xdr:row>
                    <xdr:rowOff>47625</xdr:rowOff>
                  </to>
                </anchor>
              </controlPr>
            </control>
          </mc:Choice>
        </mc:AlternateContent>
        <mc:AlternateContent xmlns:mc="http://schemas.openxmlformats.org/markup-compatibility/2006">
          <mc:Choice Requires="x14">
            <control shapeId="12206" r:id="rId5" name="Check Box 942">
              <controlPr defaultSize="0" autoFill="0" autoLine="0" autoPict="0">
                <anchor moveWithCells="1">
                  <from>
                    <xdr:col>0</xdr:col>
                    <xdr:colOff>0</xdr:colOff>
                    <xdr:row>9</xdr:row>
                    <xdr:rowOff>0</xdr:rowOff>
                  </from>
                  <to>
                    <xdr:col>3</xdr:col>
                    <xdr:colOff>0</xdr:colOff>
                    <xdr:row>10</xdr:row>
                    <xdr:rowOff>47625</xdr:rowOff>
                  </to>
                </anchor>
              </controlPr>
            </control>
          </mc:Choice>
        </mc:AlternateContent>
        <mc:AlternateContent xmlns:mc="http://schemas.openxmlformats.org/markup-compatibility/2006">
          <mc:Choice Requires="x14">
            <control shapeId="12207" r:id="rId6" name="Check Box 943">
              <controlPr defaultSize="0" autoFill="0" autoLine="0" autoPict="0">
                <anchor moveWithCells="1">
                  <from>
                    <xdr:col>0</xdr:col>
                    <xdr:colOff>0</xdr:colOff>
                    <xdr:row>10</xdr:row>
                    <xdr:rowOff>0</xdr:rowOff>
                  </from>
                  <to>
                    <xdr:col>3</xdr:col>
                    <xdr:colOff>0</xdr:colOff>
                    <xdr:row>11</xdr:row>
                    <xdr:rowOff>47625</xdr:rowOff>
                  </to>
                </anchor>
              </controlPr>
            </control>
          </mc:Choice>
        </mc:AlternateContent>
        <mc:AlternateContent xmlns:mc="http://schemas.openxmlformats.org/markup-compatibility/2006">
          <mc:Choice Requires="x14">
            <control shapeId="12208" r:id="rId7" name="Check Box 944">
              <controlPr defaultSize="0" autoFill="0" autoLine="0" autoPict="0">
                <anchor moveWithCells="1">
                  <from>
                    <xdr:col>0</xdr:col>
                    <xdr:colOff>0</xdr:colOff>
                    <xdr:row>11</xdr:row>
                    <xdr:rowOff>0</xdr:rowOff>
                  </from>
                  <to>
                    <xdr:col>3</xdr:col>
                    <xdr:colOff>0</xdr:colOff>
                    <xdr:row>12</xdr:row>
                    <xdr:rowOff>47625</xdr:rowOff>
                  </to>
                </anchor>
              </controlPr>
            </control>
          </mc:Choice>
        </mc:AlternateContent>
        <mc:AlternateContent xmlns:mc="http://schemas.openxmlformats.org/markup-compatibility/2006">
          <mc:Choice Requires="x14">
            <control shapeId="12209" r:id="rId8" name="Check Box 945">
              <controlPr defaultSize="0" autoFill="0" autoLine="0" autoPict="0">
                <anchor moveWithCells="1">
                  <from>
                    <xdr:col>0</xdr:col>
                    <xdr:colOff>0</xdr:colOff>
                    <xdr:row>12</xdr:row>
                    <xdr:rowOff>0</xdr:rowOff>
                  </from>
                  <to>
                    <xdr:col>3</xdr:col>
                    <xdr:colOff>0</xdr:colOff>
                    <xdr:row>13</xdr:row>
                    <xdr:rowOff>47625</xdr:rowOff>
                  </to>
                </anchor>
              </controlPr>
            </control>
          </mc:Choice>
        </mc:AlternateContent>
        <mc:AlternateContent xmlns:mc="http://schemas.openxmlformats.org/markup-compatibility/2006">
          <mc:Choice Requires="x14">
            <control shapeId="12210" r:id="rId9" name="Check Box 946">
              <controlPr defaultSize="0" autoFill="0" autoLine="0" autoPict="0">
                <anchor moveWithCells="1">
                  <from>
                    <xdr:col>0</xdr:col>
                    <xdr:colOff>0</xdr:colOff>
                    <xdr:row>13</xdr:row>
                    <xdr:rowOff>0</xdr:rowOff>
                  </from>
                  <to>
                    <xdr:col>3</xdr:col>
                    <xdr:colOff>0</xdr:colOff>
                    <xdr:row>14</xdr:row>
                    <xdr:rowOff>47625</xdr:rowOff>
                  </to>
                </anchor>
              </controlPr>
            </control>
          </mc:Choice>
        </mc:AlternateContent>
        <mc:AlternateContent xmlns:mc="http://schemas.openxmlformats.org/markup-compatibility/2006">
          <mc:Choice Requires="x14">
            <control shapeId="12211" r:id="rId10" name="Check Box 947">
              <controlPr defaultSize="0" autoFill="0" autoLine="0" autoPict="0">
                <anchor moveWithCells="1">
                  <from>
                    <xdr:col>0</xdr:col>
                    <xdr:colOff>0</xdr:colOff>
                    <xdr:row>14</xdr:row>
                    <xdr:rowOff>0</xdr:rowOff>
                  </from>
                  <to>
                    <xdr:col>3</xdr:col>
                    <xdr:colOff>0</xdr:colOff>
                    <xdr:row>15</xdr:row>
                    <xdr:rowOff>47625</xdr:rowOff>
                  </to>
                </anchor>
              </controlPr>
            </control>
          </mc:Choice>
        </mc:AlternateContent>
        <mc:AlternateContent xmlns:mc="http://schemas.openxmlformats.org/markup-compatibility/2006">
          <mc:Choice Requires="x14">
            <control shapeId="12212" r:id="rId11" name="Check Box 948">
              <controlPr defaultSize="0" autoFill="0" autoLine="0" autoPict="0">
                <anchor moveWithCells="1">
                  <from>
                    <xdr:col>0</xdr:col>
                    <xdr:colOff>0</xdr:colOff>
                    <xdr:row>15</xdr:row>
                    <xdr:rowOff>0</xdr:rowOff>
                  </from>
                  <to>
                    <xdr:col>3</xdr:col>
                    <xdr:colOff>0</xdr:colOff>
                    <xdr:row>16</xdr:row>
                    <xdr:rowOff>47625</xdr:rowOff>
                  </to>
                </anchor>
              </controlPr>
            </control>
          </mc:Choice>
        </mc:AlternateContent>
        <mc:AlternateContent xmlns:mc="http://schemas.openxmlformats.org/markup-compatibility/2006">
          <mc:Choice Requires="x14">
            <control shapeId="12213" r:id="rId12" name="Check Box 949">
              <controlPr defaultSize="0" autoFill="0" autoLine="0" autoPict="0">
                <anchor moveWithCells="1">
                  <from>
                    <xdr:col>0</xdr:col>
                    <xdr:colOff>0</xdr:colOff>
                    <xdr:row>16</xdr:row>
                    <xdr:rowOff>0</xdr:rowOff>
                  </from>
                  <to>
                    <xdr:col>3</xdr:col>
                    <xdr:colOff>0</xdr:colOff>
                    <xdr:row>17</xdr:row>
                    <xdr:rowOff>47625</xdr:rowOff>
                  </to>
                </anchor>
              </controlPr>
            </control>
          </mc:Choice>
        </mc:AlternateContent>
        <mc:AlternateContent xmlns:mc="http://schemas.openxmlformats.org/markup-compatibility/2006">
          <mc:Choice Requires="x14">
            <control shapeId="12214" r:id="rId13" name="Check Box 950">
              <controlPr defaultSize="0" autoFill="0" autoLine="0" autoPict="0">
                <anchor moveWithCells="1">
                  <from>
                    <xdr:col>0</xdr:col>
                    <xdr:colOff>0</xdr:colOff>
                    <xdr:row>17</xdr:row>
                    <xdr:rowOff>0</xdr:rowOff>
                  </from>
                  <to>
                    <xdr:col>3</xdr:col>
                    <xdr:colOff>0</xdr:colOff>
                    <xdr:row>18</xdr:row>
                    <xdr:rowOff>47625</xdr:rowOff>
                  </to>
                </anchor>
              </controlPr>
            </control>
          </mc:Choice>
        </mc:AlternateContent>
        <mc:AlternateContent xmlns:mc="http://schemas.openxmlformats.org/markup-compatibility/2006">
          <mc:Choice Requires="x14">
            <control shapeId="12215" r:id="rId14" name="Check Box 951">
              <controlPr defaultSize="0" autoFill="0" autoLine="0" autoPict="0">
                <anchor moveWithCells="1">
                  <from>
                    <xdr:col>0</xdr:col>
                    <xdr:colOff>0</xdr:colOff>
                    <xdr:row>18</xdr:row>
                    <xdr:rowOff>0</xdr:rowOff>
                  </from>
                  <to>
                    <xdr:col>3</xdr:col>
                    <xdr:colOff>0</xdr:colOff>
                    <xdr:row>19</xdr:row>
                    <xdr:rowOff>47625</xdr:rowOff>
                  </to>
                </anchor>
              </controlPr>
            </control>
          </mc:Choice>
        </mc:AlternateContent>
        <mc:AlternateContent xmlns:mc="http://schemas.openxmlformats.org/markup-compatibility/2006">
          <mc:Choice Requires="x14">
            <control shapeId="12216" r:id="rId15" name="Check Box 952">
              <controlPr defaultSize="0" autoFill="0" autoLine="0" autoPict="0">
                <anchor moveWithCells="1">
                  <from>
                    <xdr:col>0</xdr:col>
                    <xdr:colOff>0</xdr:colOff>
                    <xdr:row>19</xdr:row>
                    <xdr:rowOff>0</xdr:rowOff>
                  </from>
                  <to>
                    <xdr:col>3</xdr:col>
                    <xdr:colOff>0</xdr:colOff>
                    <xdr:row>20</xdr:row>
                    <xdr:rowOff>47625</xdr:rowOff>
                  </to>
                </anchor>
              </controlPr>
            </control>
          </mc:Choice>
        </mc:AlternateContent>
        <mc:AlternateContent xmlns:mc="http://schemas.openxmlformats.org/markup-compatibility/2006">
          <mc:Choice Requires="x14">
            <control shapeId="12217" r:id="rId16" name="Check Box 953">
              <controlPr defaultSize="0" autoFill="0" autoLine="0" autoPict="0">
                <anchor moveWithCells="1">
                  <from>
                    <xdr:col>0</xdr:col>
                    <xdr:colOff>0</xdr:colOff>
                    <xdr:row>20</xdr:row>
                    <xdr:rowOff>0</xdr:rowOff>
                  </from>
                  <to>
                    <xdr:col>3</xdr:col>
                    <xdr:colOff>0</xdr:colOff>
                    <xdr:row>21</xdr:row>
                    <xdr:rowOff>47625</xdr:rowOff>
                  </to>
                </anchor>
              </controlPr>
            </control>
          </mc:Choice>
        </mc:AlternateContent>
        <mc:AlternateContent xmlns:mc="http://schemas.openxmlformats.org/markup-compatibility/2006">
          <mc:Choice Requires="x14">
            <control shapeId="12218" r:id="rId17" name="Check Box 954">
              <controlPr defaultSize="0" autoFill="0" autoLine="0" autoPict="0">
                <anchor moveWithCells="1">
                  <from>
                    <xdr:col>0</xdr:col>
                    <xdr:colOff>0</xdr:colOff>
                    <xdr:row>21</xdr:row>
                    <xdr:rowOff>0</xdr:rowOff>
                  </from>
                  <to>
                    <xdr:col>3</xdr:col>
                    <xdr:colOff>0</xdr:colOff>
                    <xdr:row>22</xdr:row>
                    <xdr:rowOff>47625</xdr:rowOff>
                  </to>
                </anchor>
              </controlPr>
            </control>
          </mc:Choice>
        </mc:AlternateContent>
        <mc:AlternateContent xmlns:mc="http://schemas.openxmlformats.org/markup-compatibility/2006">
          <mc:Choice Requires="x14">
            <control shapeId="12219" r:id="rId18" name="Check Box 955">
              <controlPr defaultSize="0" autoFill="0" autoLine="0" autoPict="0">
                <anchor moveWithCells="1">
                  <from>
                    <xdr:col>0</xdr:col>
                    <xdr:colOff>0</xdr:colOff>
                    <xdr:row>22</xdr:row>
                    <xdr:rowOff>0</xdr:rowOff>
                  </from>
                  <to>
                    <xdr:col>3</xdr:col>
                    <xdr:colOff>0</xdr:colOff>
                    <xdr:row>23</xdr:row>
                    <xdr:rowOff>47625</xdr:rowOff>
                  </to>
                </anchor>
              </controlPr>
            </control>
          </mc:Choice>
        </mc:AlternateContent>
        <mc:AlternateContent xmlns:mc="http://schemas.openxmlformats.org/markup-compatibility/2006">
          <mc:Choice Requires="x14">
            <control shapeId="12220" r:id="rId19" name="Check Box 956">
              <controlPr defaultSize="0" autoFill="0" autoLine="0" autoPict="0">
                <anchor moveWithCells="1">
                  <from>
                    <xdr:col>0</xdr:col>
                    <xdr:colOff>0</xdr:colOff>
                    <xdr:row>23</xdr:row>
                    <xdr:rowOff>0</xdr:rowOff>
                  </from>
                  <to>
                    <xdr:col>3</xdr:col>
                    <xdr:colOff>0</xdr:colOff>
                    <xdr:row>24</xdr:row>
                    <xdr:rowOff>47625</xdr:rowOff>
                  </to>
                </anchor>
              </controlPr>
            </control>
          </mc:Choice>
        </mc:AlternateContent>
        <mc:AlternateContent xmlns:mc="http://schemas.openxmlformats.org/markup-compatibility/2006">
          <mc:Choice Requires="x14">
            <control shapeId="12221" r:id="rId20" name="Check Box 957">
              <controlPr defaultSize="0" autoFill="0" autoLine="0" autoPict="0">
                <anchor moveWithCells="1">
                  <from>
                    <xdr:col>0</xdr:col>
                    <xdr:colOff>0</xdr:colOff>
                    <xdr:row>24</xdr:row>
                    <xdr:rowOff>0</xdr:rowOff>
                  </from>
                  <to>
                    <xdr:col>3</xdr:col>
                    <xdr:colOff>0</xdr:colOff>
                    <xdr:row>25</xdr:row>
                    <xdr:rowOff>47625</xdr:rowOff>
                  </to>
                </anchor>
              </controlPr>
            </control>
          </mc:Choice>
        </mc:AlternateContent>
        <mc:AlternateContent xmlns:mc="http://schemas.openxmlformats.org/markup-compatibility/2006">
          <mc:Choice Requires="x14">
            <control shapeId="12222" r:id="rId21" name="Check Box 958">
              <controlPr defaultSize="0" autoFill="0" autoLine="0" autoPict="0">
                <anchor moveWithCells="1">
                  <from>
                    <xdr:col>0</xdr:col>
                    <xdr:colOff>0</xdr:colOff>
                    <xdr:row>25</xdr:row>
                    <xdr:rowOff>0</xdr:rowOff>
                  </from>
                  <to>
                    <xdr:col>3</xdr:col>
                    <xdr:colOff>0</xdr:colOff>
                    <xdr:row>26</xdr:row>
                    <xdr:rowOff>47625</xdr:rowOff>
                  </to>
                </anchor>
              </controlPr>
            </control>
          </mc:Choice>
        </mc:AlternateContent>
        <mc:AlternateContent xmlns:mc="http://schemas.openxmlformats.org/markup-compatibility/2006">
          <mc:Choice Requires="x14">
            <control shapeId="12223" r:id="rId22" name="Check Box 959">
              <controlPr defaultSize="0" autoFill="0" autoLine="0" autoPict="0">
                <anchor moveWithCells="1">
                  <from>
                    <xdr:col>0</xdr:col>
                    <xdr:colOff>0</xdr:colOff>
                    <xdr:row>26</xdr:row>
                    <xdr:rowOff>0</xdr:rowOff>
                  </from>
                  <to>
                    <xdr:col>3</xdr:col>
                    <xdr:colOff>0</xdr:colOff>
                    <xdr:row>27</xdr:row>
                    <xdr:rowOff>47625</xdr:rowOff>
                  </to>
                </anchor>
              </controlPr>
            </control>
          </mc:Choice>
        </mc:AlternateContent>
        <mc:AlternateContent xmlns:mc="http://schemas.openxmlformats.org/markup-compatibility/2006">
          <mc:Choice Requires="x14">
            <control shapeId="12224" r:id="rId23" name="Check Box 960">
              <controlPr defaultSize="0" autoFill="0" autoLine="0" autoPict="0">
                <anchor moveWithCells="1">
                  <from>
                    <xdr:col>0</xdr:col>
                    <xdr:colOff>0</xdr:colOff>
                    <xdr:row>27</xdr:row>
                    <xdr:rowOff>0</xdr:rowOff>
                  </from>
                  <to>
                    <xdr:col>3</xdr:col>
                    <xdr:colOff>0</xdr:colOff>
                    <xdr:row>28</xdr:row>
                    <xdr:rowOff>47625</xdr:rowOff>
                  </to>
                </anchor>
              </controlPr>
            </control>
          </mc:Choice>
        </mc:AlternateContent>
        <mc:AlternateContent xmlns:mc="http://schemas.openxmlformats.org/markup-compatibility/2006">
          <mc:Choice Requires="x14">
            <control shapeId="12225" r:id="rId24" name="Check Box 961">
              <controlPr defaultSize="0" autoFill="0" autoLine="0" autoPict="0">
                <anchor moveWithCells="1">
                  <from>
                    <xdr:col>0</xdr:col>
                    <xdr:colOff>0</xdr:colOff>
                    <xdr:row>28</xdr:row>
                    <xdr:rowOff>0</xdr:rowOff>
                  </from>
                  <to>
                    <xdr:col>3</xdr:col>
                    <xdr:colOff>0</xdr:colOff>
                    <xdr:row>29</xdr:row>
                    <xdr:rowOff>47625</xdr:rowOff>
                  </to>
                </anchor>
              </controlPr>
            </control>
          </mc:Choice>
        </mc:AlternateContent>
        <mc:AlternateContent xmlns:mc="http://schemas.openxmlformats.org/markup-compatibility/2006">
          <mc:Choice Requires="x14">
            <control shapeId="12226" r:id="rId25" name="Check Box 962">
              <controlPr defaultSize="0" autoFill="0" autoLine="0" autoPict="0">
                <anchor moveWithCells="1">
                  <from>
                    <xdr:col>0</xdr:col>
                    <xdr:colOff>0</xdr:colOff>
                    <xdr:row>29</xdr:row>
                    <xdr:rowOff>0</xdr:rowOff>
                  </from>
                  <to>
                    <xdr:col>3</xdr:col>
                    <xdr:colOff>0</xdr:colOff>
                    <xdr:row>30</xdr:row>
                    <xdr:rowOff>47625</xdr:rowOff>
                  </to>
                </anchor>
              </controlPr>
            </control>
          </mc:Choice>
        </mc:AlternateContent>
        <mc:AlternateContent xmlns:mc="http://schemas.openxmlformats.org/markup-compatibility/2006">
          <mc:Choice Requires="x14">
            <control shapeId="12227" r:id="rId26" name="Check Box 963">
              <controlPr defaultSize="0" autoFill="0" autoLine="0" autoPict="0">
                <anchor moveWithCells="1">
                  <from>
                    <xdr:col>0</xdr:col>
                    <xdr:colOff>0</xdr:colOff>
                    <xdr:row>30</xdr:row>
                    <xdr:rowOff>0</xdr:rowOff>
                  </from>
                  <to>
                    <xdr:col>3</xdr:col>
                    <xdr:colOff>0</xdr:colOff>
                    <xdr:row>31</xdr:row>
                    <xdr:rowOff>47625</xdr:rowOff>
                  </to>
                </anchor>
              </controlPr>
            </control>
          </mc:Choice>
        </mc:AlternateContent>
        <mc:AlternateContent xmlns:mc="http://schemas.openxmlformats.org/markup-compatibility/2006">
          <mc:Choice Requires="x14">
            <control shapeId="12228" r:id="rId27" name="Check Box 964">
              <controlPr defaultSize="0" autoFill="0" autoLine="0" autoPict="0">
                <anchor moveWithCells="1">
                  <from>
                    <xdr:col>0</xdr:col>
                    <xdr:colOff>0</xdr:colOff>
                    <xdr:row>31</xdr:row>
                    <xdr:rowOff>0</xdr:rowOff>
                  </from>
                  <to>
                    <xdr:col>3</xdr:col>
                    <xdr:colOff>0</xdr:colOff>
                    <xdr:row>32</xdr:row>
                    <xdr:rowOff>47625</xdr:rowOff>
                  </to>
                </anchor>
              </controlPr>
            </control>
          </mc:Choice>
        </mc:AlternateContent>
        <mc:AlternateContent xmlns:mc="http://schemas.openxmlformats.org/markup-compatibility/2006">
          <mc:Choice Requires="x14">
            <control shapeId="12229" r:id="rId28" name="Check Box 965">
              <controlPr defaultSize="0" autoFill="0" autoLine="0" autoPict="0">
                <anchor moveWithCells="1">
                  <from>
                    <xdr:col>0</xdr:col>
                    <xdr:colOff>0</xdr:colOff>
                    <xdr:row>32</xdr:row>
                    <xdr:rowOff>0</xdr:rowOff>
                  </from>
                  <to>
                    <xdr:col>3</xdr:col>
                    <xdr:colOff>0</xdr:colOff>
                    <xdr:row>33</xdr:row>
                    <xdr:rowOff>47625</xdr:rowOff>
                  </to>
                </anchor>
              </controlPr>
            </control>
          </mc:Choice>
        </mc:AlternateContent>
        <mc:AlternateContent xmlns:mc="http://schemas.openxmlformats.org/markup-compatibility/2006">
          <mc:Choice Requires="x14">
            <control shapeId="12230" r:id="rId29" name="Check Box 966">
              <controlPr defaultSize="0" autoFill="0" autoLine="0" autoPict="0">
                <anchor moveWithCells="1">
                  <from>
                    <xdr:col>0</xdr:col>
                    <xdr:colOff>0</xdr:colOff>
                    <xdr:row>33</xdr:row>
                    <xdr:rowOff>0</xdr:rowOff>
                  </from>
                  <to>
                    <xdr:col>3</xdr:col>
                    <xdr:colOff>0</xdr:colOff>
                    <xdr:row>34</xdr:row>
                    <xdr:rowOff>47625</xdr:rowOff>
                  </to>
                </anchor>
              </controlPr>
            </control>
          </mc:Choice>
        </mc:AlternateContent>
        <mc:AlternateContent xmlns:mc="http://schemas.openxmlformats.org/markup-compatibility/2006">
          <mc:Choice Requires="x14">
            <control shapeId="12231" r:id="rId30" name="Check Box 967">
              <controlPr defaultSize="0" autoFill="0" autoLine="0" autoPict="0">
                <anchor moveWithCells="1">
                  <from>
                    <xdr:col>0</xdr:col>
                    <xdr:colOff>0</xdr:colOff>
                    <xdr:row>34</xdr:row>
                    <xdr:rowOff>0</xdr:rowOff>
                  </from>
                  <to>
                    <xdr:col>3</xdr:col>
                    <xdr:colOff>0</xdr:colOff>
                    <xdr:row>35</xdr:row>
                    <xdr:rowOff>47625</xdr:rowOff>
                  </to>
                </anchor>
              </controlPr>
            </control>
          </mc:Choice>
        </mc:AlternateContent>
        <mc:AlternateContent xmlns:mc="http://schemas.openxmlformats.org/markup-compatibility/2006">
          <mc:Choice Requires="x14">
            <control shapeId="12232" r:id="rId31" name="Check Box 968">
              <controlPr defaultSize="0" autoFill="0" autoLine="0" autoPict="0">
                <anchor moveWithCells="1">
                  <from>
                    <xdr:col>0</xdr:col>
                    <xdr:colOff>0</xdr:colOff>
                    <xdr:row>35</xdr:row>
                    <xdr:rowOff>0</xdr:rowOff>
                  </from>
                  <to>
                    <xdr:col>3</xdr:col>
                    <xdr:colOff>0</xdr:colOff>
                    <xdr:row>36</xdr:row>
                    <xdr:rowOff>47625</xdr:rowOff>
                  </to>
                </anchor>
              </controlPr>
            </control>
          </mc:Choice>
        </mc:AlternateContent>
        <mc:AlternateContent xmlns:mc="http://schemas.openxmlformats.org/markup-compatibility/2006">
          <mc:Choice Requires="x14">
            <control shapeId="12233" r:id="rId32" name="Check Box 969">
              <controlPr defaultSize="0" autoFill="0" autoLine="0" autoPict="0">
                <anchor moveWithCells="1">
                  <from>
                    <xdr:col>0</xdr:col>
                    <xdr:colOff>0</xdr:colOff>
                    <xdr:row>36</xdr:row>
                    <xdr:rowOff>0</xdr:rowOff>
                  </from>
                  <to>
                    <xdr:col>3</xdr:col>
                    <xdr:colOff>0</xdr:colOff>
                    <xdr:row>37</xdr:row>
                    <xdr:rowOff>47625</xdr:rowOff>
                  </to>
                </anchor>
              </controlPr>
            </control>
          </mc:Choice>
        </mc:AlternateContent>
        <mc:AlternateContent xmlns:mc="http://schemas.openxmlformats.org/markup-compatibility/2006">
          <mc:Choice Requires="x14">
            <control shapeId="12234" r:id="rId33" name="Check Box 970">
              <controlPr defaultSize="0" autoFill="0" autoLine="0" autoPict="0">
                <anchor moveWithCells="1">
                  <from>
                    <xdr:col>0</xdr:col>
                    <xdr:colOff>0</xdr:colOff>
                    <xdr:row>37</xdr:row>
                    <xdr:rowOff>0</xdr:rowOff>
                  </from>
                  <to>
                    <xdr:col>3</xdr:col>
                    <xdr:colOff>0</xdr:colOff>
                    <xdr:row>38</xdr:row>
                    <xdr:rowOff>47625</xdr:rowOff>
                  </to>
                </anchor>
              </controlPr>
            </control>
          </mc:Choice>
        </mc:AlternateContent>
        <mc:AlternateContent xmlns:mc="http://schemas.openxmlformats.org/markup-compatibility/2006">
          <mc:Choice Requires="x14">
            <control shapeId="12235" r:id="rId34" name="Check Box 971">
              <controlPr defaultSize="0" autoFill="0" autoLine="0" autoPict="0">
                <anchor moveWithCells="1">
                  <from>
                    <xdr:col>0</xdr:col>
                    <xdr:colOff>0</xdr:colOff>
                    <xdr:row>38</xdr:row>
                    <xdr:rowOff>0</xdr:rowOff>
                  </from>
                  <to>
                    <xdr:col>3</xdr:col>
                    <xdr:colOff>0</xdr:colOff>
                    <xdr:row>39</xdr:row>
                    <xdr:rowOff>52388</xdr:rowOff>
                  </to>
                </anchor>
              </controlPr>
            </control>
          </mc:Choice>
        </mc:AlternateContent>
        <mc:AlternateContent xmlns:mc="http://schemas.openxmlformats.org/markup-compatibility/2006">
          <mc:Choice Requires="x14">
            <control shapeId="12236" r:id="rId35" name="Check Box 972">
              <controlPr defaultSize="0" autoFill="0" autoLine="0" autoPict="0">
                <anchor moveWithCells="1">
                  <from>
                    <xdr:col>0</xdr:col>
                    <xdr:colOff>0</xdr:colOff>
                    <xdr:row>39</xdr:row>
                    <xdr:rowOff>0</xdr:rowOff>
                  </from>
                  <to>
                    <xdr:col>3</xdr:col>
                    <xdr:colOff>0</xdr:colOff>
                    <xdr:row>40</xdr:row>
                    <xdr:rowOff>47625</xdr:rowOff>
                  </to>
                </anchor>
              </controlPr>
            </control>
          </mc:Choice>
        </mc:AlternateContent>
        <mc:AlternateContent xmlns:mc="http://schemas.openxmlformats.org/markup-compatibility/2006">
          <mc:Choice Requires="x14">
            <control shapeId="12237" r:id="rId36" name="Check Box 973">
              <controlPr defaultSize="0" autoFill="0" autoLine="0" autoPict="0">
                <anchor moveWithCells="1">
                  <from>
                    <xdr:col>0</xdr:col>
                    <xdr:colOff>0</xdr:colOff>
                    <xdr:row>40</xdr:row>
                    <xdr:rowOff>0</xdr:rowOff>
                  </from>
                  <to>
                    <xdr:col>3</xdr:col>
                    <xdr:colOff>0</xdr:colOff>
                    <xdr:row>41</xdr:row>
                    <xdr:rowOff>47625</xdr:rowOff>
                  </to>
                </anchor>
              </controlPr>
            </control>
          </mc:Choice>
        </mc:AlternateContent>
        <mc:AlternateContent xmlns:mc="http://schemas.openxmlformats.org/markup-compatibility/2006">
          <mc:Choice Requires="x14">
            <control shapeId="12238" r:id="rId37" name="Check Box 974">
              <controlPr defaultSize="0" autoFill="0" autoLine="0" autoPict="0">
                <anchor moveWithCells="1">
                  <from>
                    <xdr:col>0</xdr:col>
                    <xdr:colOff>0</xdr:colOff>
                    <xdr:row>41</xdr:row>
                    <xdr:rowOff>0</xdr:rowOff>
                  </from>
                  <to>
                    <xdr:col>3</xdr:col>
                    <xdr:colOff>0</xdr:colOff>
                    <xdr:row>42</xdr:row>
                    <xdr:rowOff>47625</xdr:rowOff>
                  </to>
                </anchor>
              </controlPr>
            </control>
          </mc:Choice>
        </mc:AlternateContent>
        <mc:AlternateContent xmlns:mc="http://schemas.openxmlformats.org/markup-compatibility/2006">
          <mc:Choice Requires="x14">
            <control shapeId="12239" r:id="rId38" name="Check Box 975">
              <controlPr defaultSize="0" autoFill="0" autoLine="0" autoPict="0">
                <anchor moveWithCells="1">
                  <from>
                    <xdr:col>0</xdr:col>
                    <xdr:colOff>0</xdr:colOff>
                    <xdr:row>42</xdr:row>
                    <xdr:rowOff>0</xdr:rowOff>
                  </from>
                  <to>
                    <xdr:col>3</xdr:col>
                    <xdr:colOff>0</xdr:colOff>
                    <xdr:row>43</xdr:row>
                    <xdr:rowOff>47625</xdr:rowOff>
                  </to>
                </anchor>
              </controlPr>
            </control>
          </mc:Choice>
        </mc:AlternateContent>
        <mc:AlternateContent xmlns:mc="http://schemas.openxmlformats.org/markup-compatibility/2006">
          <mc:Choice Requires="x14">
            <control shapeId="12240" r:id="rId39" name="Check Box 976">
              <controlPr defaultSize="0" autoFill="0" autoLine="0" autoPict="0">
                <anchor moveWithCells="1">
                  <from>
                    <xdr:col>0</xdr:col>
                    <xdr:colOff>0</xdr:colOff>
                    <xdr:row>43</xdr:row>
                    <xdr:rowOff>0</xdr:rowOff>
                  </from>
                  <to>
                    <xdr:col>3</xdr:col>
                    <xdr:colOff>0</xdr:colOff>
                    <xdr:row>44</xdr:row>
                    <xdr:rowOff>47625</xdr:rowOff>
                  </to>
                </anchor>
              </controlPr>
            </control>
          </mc:Choice>
        </mc:AlternateContent>
        <mc:AlternateContent xmlns:mc="http://schemas.openxmlformats.org/markup-compatibility/2006">
          <mc:Choice Requires="x14">
            <control shapeId="12241" r:id="rId40" name="Check Box 977">
              <controlPr defaultSize="0" autoFill="0" autoLine="0" autoPict="0">
                <anchor moveWithCells="1">
                  <from>
                    <xdr:col>0</xdr:col>
                    <xdr:colOff>0</xdr:colOff>
                    <xdr:row>44</xdr:row>
                    <xdr:rowOff>0</xdr:rowOff>
                  </from>
                  <to>
                    <xdr:col>3</xdr:col>
                    <xdr:colOff>0</xdr:colOff>
                    <xdr:row>45</xdr:row>
                    <xdr:rowOff>47625</xdr:rowOff>
                  </to>
                </anchor>
              </controlPr>
            </control>
          </mc:Choice>
        </mc:AlternateContent>
        <mc:AlternateContent xmlns:mc="http://schemas.openxmlformats.org/markup-compatibility/2006">
          <mc:Choice Requires="x14">
            <control shapeId="12242" r:id="rId41" name="Check Box 978">
              <controlPr defaultSize="0" autoFill="0" autoLine="0" autoPict="0">
                <anchor moveWithCells="1">
                  <from>
                    <xdr:col>0</xdr:col>
                    <xdr:colOff>0</xdr:colOff>
                    <xdr:row>45</xdr:row>
                    <xdr:rowOff>0</xdr:rowOff>
                  </from>
                  <to>
                    <xdr:col>3</xdr:col>
                    <xdr:colOff>0</xdr:colOff>
                    <xdr:row>46</xdr:row>
                    <xdr:rowOff>47625</xdr:rowOff>
                  </to>
                </anchor>
              </controlPr>
            </control>
          </mc:Choice>
        </mc:AlternateContent>
        <mc:AlternateContent xmlns:mc="http://schemas.openxmlformats.org/markup-compatibility/2006">
          <mc:Choice Requires="x14">
            <control shapeId="12243" r:id="rId42" name="Check Box 979">
              <controlPr defaultSize="0" autoFill="0" autoLine="0" autoPict="0">
                <anchor moveWithCells="1">
                  <from>
                    <xdr:col>0</xdr:col>
                    <xdr:colOff>0</xdr:colOff>
                    <xdr:row>46</xdr:row>
                    <xdr:rowOff>0</xdr:rowOff>
                  </from>
                  <to>
                    <xdr:col>3</xdr:col>
                    <xdr:colOff>0</xdr:colOff>
                    <xdr:row>47</xdr:row>
                    <xdr:rowOff>47625</xdr:rowOff>
                  </to>
                </anchor>
              </controlPr>
            </control>
          </mc:Choice>
        </mc:AlternateContent>
        <mc:AlternateContent xmlns:mc="http://schemas.openxmlformats.org/markup-compatibility/2006">
          <mc:Choice Requires="x14">
            <control shapeId="12244" r:id="rId43" name="Check Box 980">
              <controlPr defaultSize="0" autoFill="0" autoLine="0" autoPict="0">
                <anchor moveWithCells="1">
                  <from>
                    <xdr:col>0</xdr:col>
                    <xdr:colOff>0</xdr:colOff>
                    <xdr:row>47</xdr:row>
                    <xdr:rowOff>0</xdr:rowOff>
                  </from>
                  <to>
                    <xdr:col>3</xdr:col>
                    <xdr:colOff>0</xdr:colOff>
                    <xdr:row>48</xdr:row>
                    <xdr:rowOff>47625</xdr:rowOff>
                  </to>
                </anchor>
              </controlPr>
            </control>
          </mc:Choice>
        </mc:AlternateContent>
        <mc:AlternateContent xmlns:mc="http://schemas.openxmlformats.org/markup-compatibility/2006">
          <mc:Choice Requires="x14">
            <control shapeId="12245" r:id="rId44" name="Check Box 981">
              <controlPr defaultSize="0" autoFill="0" autoLine="0" autoPict="0">
                <anchor moveWithCells="1">
                  <from>
                    <xdr:col>0</xdr:col>
                    <xdr:colOff>0</xdr:colOff>
                    <xdr:row>48</xdr:row>
                    <xdr:rowOff>0</xdr:rowOff>
                  </from>
                  <to>
                    <xdr:col>3</xdr:col>
                    <xdr:colOff>0</xdr:colOff>
                    <xdr:row>49</xdr:row>
                    <xdr:rowOff>47625</xdr:rowOff>
                  </to>
                </anchor>
              </controlPr>
            </control>
          </mc:Choice>
        </mc:AlternateContent>
        <mc:AlternateContent xmlns:mc="http://schemas.openxmlformats.org/markup-compatibility/2006">
          <mc:Choice Requires="x14">
            <control shapeId="12246" r:id="rId45" name="Check Box 982">
              <controlPr defaultSize="0" autoFill="0" autoLine="0" autoPict="0">
                <anchor moveWithCells="1">
                  <from>
                    <xdr:col>0</xdr:col>
                    <xdr:colOff>0</xdr:colOff>
                    <xdr:row>49</xdr:row>
                    <xdr:rowOff>0</xdr:rowOff>
                  </from>
                  <to>
                    <xdr:col>3</xdr:col>
                    <xdr:colOff>0</xdr:colOff>
                    <xdr:row>50</xdr:row>
                    <xdr:rowOff>47625</xdr:rowOff>
                  </to>
                </anchor>
              </controlPr>
            </control>
          </mc:Choice>
        </mc:AlternateContent>
        <mc:AlternateContent xmlns:mc="http://schemas.openxmlformats.org/markup-compatibility/2006">
          <mc:Choice Requires="x14">
            <control shapeId="12247" r:id="rId46" name="Check Box 983">
              <controlPr defaultSize="0" autoFill="0" autoLine="0" autoPict="0">
                <anchor moveWithCells="1">
                  <from>
                    <xdr:col>0</xdr:col>
                    <xdr:colOff>0</xdr:colOff>
                    <xdr:row>50</xdr:row>
                    <xdr:rowOff>0</xdr:rowOff>
                  </from>
                  <to>
                    <xdr:col>3</xdr:col>
                    <xdr:colOff>0</xdr:colOff>
                    <xdr:row>51</xdr:row>
                    <xdr:rowOff>47625</xdr:rowOff>
                  </to>
                </anchor>
              </controlPr>
            </control>
          </mc:Choice>
        </mc:AlternateContent>
        <mc:AlternateContent xmlns:mc="http://schemas.openxmlformats.org/markup-compatibility/2006">
          <mc:Choice Requires="x14">
            <control shapeId="12248" r:id="rId47" name="Check Box 984">
              <controlPr defaultSize="0" autoFill="0" autoLine="0" autoPict="0">
                <anchor moveWithCells="1">
                  <from>
                    <xdr:col>0</xdr:col>
                    <xdr:colOff>0</xdr:colOff>
                    <xdr:row>51</xdr:row>
                    <xdr:rowOff>0</xdr:rowOff>
                  </from>
                  <to>
                    <xdr:col>3</xdr:col>
                    <xdr:colOff>0</xdr:colOff>
                    <xdr:row>52</xdr:row>
                    <xdr:rowOff>47625</xdr:rowOff>
                  </to>
                </anchor>
              </controlPr>
            </control>
          </mc:Choice>
        </mc:AlternateContent>
        <mc:AlternateContent xmlns:mc="http://schemas.openxmlformats.org/markup-compatibility/2006">
          <mc:Choice Requires="x14">
            <control shapeId="12249" r:id="rId48" name="Check Box 985">
              <controlPr defaultSize="0" autoFill="0" autoLine="0" autoPict="0">
                <anchor moveWithCells="1">
                  <from>
                    <xdr:col>0</xdr:col>
                    <xdr:colOff>0</xdr:colOff>
                    <xdr:row>52</xdr:row>
                    <xdr:rowOff>0</xdr:rowOff>
                  </from>
                  <to>
                    <xdr:col>3</xdr:col>
                    <xdr:colOff>0</xdr:colOff>
                    <xdr:row>53</xdr:row>
                    <xdr:rowOff>47625</xdr:rowOff>
                  </to>
                </anchor>
              </controlPr>
            </control>
          </mc:Choice>
        </mc:AlternateContent>
        <mc:AlternateContent xmlns:mc="http://schemas.openxmlformats.org/markup-compatibility/2006">
          <mc:Choice Requires="x14">
            <control shapeId="12250" r:id="rId49" name="Check Box 986">
              <controlPr defaultSize="0" autoFill="0" autoLine="0" autoPict="0">
                <anchor moveWithCells="1">
                  <from>
                    <xdr:col>0</xdr:col>
                    <xdr:colOff>0</xdr:colOff>
                    <xdr:row>53</xdr:row>
                    <xdr:rowOff>0</xdr:rowOff>
                  </from>
                  <to>
                    <xdr:col>3</xdr:col>
                    <xdr:colOff>0</xdr:colOff>
                    <xdr:row>54</xdr:row>
                    <xdr:rowOff>47625</xdr:rowOff>
                  </to>
                </anchor>
              </controlPr>
            </control>
          </mc:Choice>
        </mc:AlternateContent>
        <mc:AlternateContent xmlns:mc="http://schemas.openxmlformats.org/markup-compatibility/2006">
          <mc:Choice Requires="x14">
            <control shapeId="12251" r:id="rId50" name="Check Box 987">
              <controlPr defaultSize="0" autoFill="0" autoLine="0" autoPict="0">
                <anchor moveWithCells="1">
                  <from>
                    <xdr:col>0</xdr:col>
                    <xdr:colOff>0</xdr:colOff>
                    <xdr:row>54</xdr:row>
                    <xdr:rowOff>0</xdr:rowOff>
                  </from>
                  <to>
                    <xdr:col>3</xdr:col>
                    <xdr:colOff>0</xdr:colOff>
                    <xdr:row>55</xdr:row>
                    <xdr:rowOff>47625</xdr:rowOff>
                  </to>
                </anchor>
              </controlPr>
            </control>
          </mc:Choice>
        </mc:AlternateContent>
        <mc:AlternateContent xmlns:mc="http://schemas.openxmlformats.org/markup-compatibility/2006">
          <mc:Choice Requires="x14">
            <control shapeId="12252" r:id="rId51" name="Check Box 988">
              <controlPr defaultSize="0" autoFill="0" autoLine="0" autoPict="0">
                <anchor moveWithCells="1">
                  <from>
                    <xdr:col>0</xdr:col>
                    <xdr:colOff>0</xdr:colOff>
                    <xdr:row>55</xdr:row>
                    <xdr:rowOff>0</xdr:rowOff>
                  </from>
                  <to>
                    <xdr:col>3</xdr:col>
                    <xdr:colOff>0</xdr:colOff>
                    <xdr:row>56</xdr:row>
                    <xdr:rowOff>47625</xdr:rowOff>
                  </to>
                </anchor>
              </controlPr>
            </control>
          </mc:Choice>
        </mc:AlternateContent>
        <mc:AlternateContent xmlns:mc="http://schemas.openxmlformats.org/markup-compatibility/2006">
          <mc:Choice Requires="x14">
            <control shapeId="12253" r:id="rId52" name="Check Box 989">
              <controlPr defaultSize="0" autoFill="0" autoLine="0" autoPict="0">
                <anchor moveWithCells="1">
                  <from>
                    <xdr:col>0</xdr:col>
                    <xdr:colOff>0</xdr:colOff>
                    <xdr:row>56</xdr:row>
                    <xdr:rowOff>0</xdr:rowOff>
                  </from>
                  <to>
                    <xdr:col>3</xdr:col>
                    <xdr:colOff>0</xdr:colOff>
                    <xdr:row>57</xdr:row>
                    <xdr:rowOff>47625</xdr:rowOff>
                  </to>
                </anchor>
              </controlPr>
            </control>
          </mc:Choice>
        </mc:AlternateContent>
        <mc:AlternateContent xmlns:mc="http://schemas.openxmlformats.org/markup-compatibility/2006">
          <mc:Choice Requires="x14">
            <control shapeId="12254" r:id="rId53" name="Check Box 990">
              <controlPr defaultSize="0" autoFill="0" autoLine="0" autoPict="0">
                <anchor moveWithCells="1">
                  <from>
                    <xdr:col>0</xdr:col>
                    <xdr:colOff>0</xdr:colOff>
                    <xdr:row>57</xdr:row>
                    <xdr:rowOff>0</xdr:rowOff>
                  </from>
                  <to>
                    <xdr:col>3</xdr:col>
                    <xdr:colOff>0</xdr:colOff>
                    <xdr:row>58</xdr:row>
                    <xdr:rowOff>47625</xdr:rowOff>
                  </to>
                </anchor>
              </controlPr>
            </control>
          </mc:Choice>
        </mc:AlternateContent>
        <mc:AlternateContent xmlns:mc="http://schemas.openxmlformats.org/markup-compatibility/2006">
          <mc:Choice Requires="x14">
            <control shapeId="12255" r:id="rId54" name="Check Box 991">
              <controlPr defaultSize="0" autoFill="0" autoLine="0" autoPict="0">
                <anchor moveWithCells="1">
                  <from>
                    <xdr:col>0</xdr:col>
                    <xdr:colOff>0</xdr:colOff>
                    <xdr:row>58</xdr:row>
                    <xdr:rowOff>0</xdr:rowOff>
                  </from>
                  <to>
                    <xdr:col>3</xdr:col>
                    <xdr:colOff>0</xdr:colOff>
                    <xdr:row>59</xdr:row>
                    <xdr:rowOff>47625</xdr:rowOff>
                  </to>
                </anchor>
              </controlPr>
            </control>
          </mc:Choice>
        </mc:AlternateContent>
        <mc:AlternateContent xmlns:mc="http://schemas.openxmlformats.org/markup-compatibility/2006">
          <mc:Choice Requires="x14">
            <control shapeId="12256" r:id="rId55" name="Check Box 992">
              <controlPr defaultSize="0" autoFill="0" autoLine="0" autoPict="0">
                <anchor moveWithCells="1">
                  <from>
                    <xdr:col>0</xdr:col>
                    <xdr:colOff>0</xdr:colOff>
                    <xdr:row>59</xdr:row>
                    <xdr:rowOff>0</xdr:rowOff>
                  </from>
                  <to>
                    <xdr:col>3</xdr:col>
                    <xdr:colOff>0</xdr:colOff>
                    <xdr:row>60</xdr:row>
                    <xdr:rowOff>47625</xdr:rowOff>
                  </to>
                </anchor>
              </controlPr>
            </control>
          </mc:Choice>
        </mc:AlternateContent>
        <mc:AlternateContent xmlns:mc="http://schemas.openxmlformats.org/markup-compatibility/2006">
          <mc:Choice Requires="x14">
            <control shapeId="12257" r:id="rId56" name="Check Box 993">
              <controlPr defaultSize="0" autoFill="0" autoLine="0" autoPict="0">
                <anchor moveWithCells="1">
                  <from>
                    <xdr:col>0</xdr:col>
                    <xdr:colOff>0</xdr:colOff>
                    <xdr:row>60</xdr:row>
                    <xdr:rowOff>0</xdr:rowOff>
                  </from>
                  <to>
                    <xdr:col>3</xdr:col>
                    <xdr:colOff>0</xdr:colOff>
                    <xdr:row>61</xdr:row>
                    <xdr:rowOff>47625</xdr:rowOff>
                  </to>
                </anchor>
              </controlPr>
            </control>
          </mc:Choice>
        </mc:AlternateContent>
        <mc:AlternateContent xmlns:mc="http://schemas.openxmlformats.org/markup-compatibility/2006">
          <mc:Choice Requires="x14">
            <control shapeId="12258" r:id="rId57" name="Check Box 994">
              <controlPr defaultSize="0" autoFill="0" autoLine="0" autoPict="0">
                <anchor moveWithCells="1">
                  <from>
                    <xdr:col>0</xdr:col>
                    <xdr:colOff>0</xdr:colOff>
                    <xdr:row>61</xdr:row>
                    <xdr:rowOff>0</xdr:rowOff>
                  </from>
                  <to>
                    <xdr:col>3</xdr:col>
                    <xdr:colOff>0</xdr:colOff>
                    <xdr:row>62</xdr:row>
                    <xdr:rowOff>47625</xdr:rowOff>
                  </to>
                </anchor>
              </controlPr>
            </control>
          </mc:Choice>
        </mc:AlternateContent>
        <mc:AlternateContent xmlns:mc="http://schemas.openxmlformats.org/markup-compatibility/2006">
          <mc:Choice Requires="x14">
            <control shapeId="12259" r:id="rId58" name="Check Box 995">
              <controlPr defaultSize="0" autoFill="0" autoLine="0" autoPict="0">
                <anchor moveWithCells="1">
                  <from>
                    <xdr:col>0</xdr:col>
                    <xdr:colOff>0</xdr:colOff>
                    <xdr:row>62</xdr:row>
                    <xdr:rowOff>0</xdr:rowOff>
                  </from>
                  <to>
                    <xdr:col>3</xdr:col>
                    <xdr:colOff>0</xdr:colOff>
                    <xdr:row>63</xdr:row>
                    <xdr:rowOff>47625</xdr:rowOff>
                  </to>
                </anchor>
              </controlPr>
            </control>
          </mc:Choice>
        </mc:AlternateContent>
        <mc:AlternateContent xmlns:mc="http://schemas.openxmlformats.org/markup-compatibility/2006">
          <mc:Choice Requires="x14">
            <control shapeId="12260" r:id="rId59" name="Check Box 996">
              <controlPr defaultSize="0" autoFill="0" autoLine="0" autoPict="0">
                <anchor moveWithCells="1">
                  <from>
                    <xdr:col>0</xdr:col>
                    <xdr:colOff>0</xdr:colOff>
                    <xdr:row>63</xdr:row>
                    <xdr:rowOff>0</xdr:rowOff>
                  </from>
                  <to>
                    <xdr:col>3</xdr:col>
                    <xdr:colOff>0</xdr:colOff>
                    <xdr:row>64</xdr:row>
                    <xdr:rowOff>47625</xdr:rowOff>
                  </to>
                </anchor>
              </controlPr>
            </control>
          </mc:Choice>
        </mc:AlternateContent>
        <mc:AlternateContent xmlns:mc="http://schemas.openxmlformats.org/markup-compatibility/2006">
          <mc:Choice Requires="x14">
            <control shapeId="12261" r:id="rId60" name="Check Box 997">
              <controlPr defaultSize="0" autoFill="0" autoLine="0" autoPict="0">
                <anchor moveWithCells="1">
                  <from>
                    <xdr:col>0</xdr:col>
                    <xdr:colOff>0</xdr:colOff>
                    <xdr:row>64</xdr:row>
                    <xdr:rowOff>0</xdr:rowOff>
                  </from>
                  <to>
                    <xdr:col>3</xdr:col>
                    <xdr:colOff>0</xdr:colOff>
                    <xdr:row>65</xdr:row>
                    <xdr:rowOff>47625</xdr:rowOff>
                  </to>
                </anchor>
              </controlPr>
            </control>
          </mc:Choice>
        </mc:AlternateContent>
        <mc:AlternateContent xmlns:mc="http://schemas.openxmlformats.org/markup-compatibility/2006">
          <mc:Choice Requires="x14">
            <control shapeId="12262" r:id="rId61" name="Check Box 998">
              <controlPr defaultSize="0" autoFill="0" autoLine="0" autoPict="0">
                <anchor moveWithCells="1">
                  <from>
                    <xdr:col>0</xdr:col>
                    <xdr:colOff>0</xdr:colOff>
                    <xdr:row>65</xdr:row>
                    <xdr:rowOff>0</xdr:rowOff>
                  </from>
                  <to>
                    <xdr:col>3</xdr:col>
                    <xdr:colOff>0</xdr:colOff>
                    <xdr:row>66</xdr:row>
                    <xdr:rowOff>47625</xdr:rowOff>
                  </to>
                </anchor>
              </controlPr>
            </control>
          </mc:Choice>
        </mc:AlternateContent>
        <mc:AlternateContent xmlns:mc="http://schemas.openxmlformats.org/markup-compatibility/2006">
          <mc:Choice Requires="x14">
            <control shapeId="12263" r:id="rId62" name="Check Box 999">
              <controlPr defaultSize="0" autoFill="0" autoLine="0" autoPict="0">
                <anchor moveWithCells="1">
                  <from>
                    <xdr:col>0</xdr:col>
                    <xdr:colOff>0</xdr:colOff>
                    <xdr:row>66</xdr:row>
                    <xdr:rowOff>0</xdr:rowOff>
                  </from>
                  <to>
                    <xdr:col>3</xdr:col>
                    <xdr:colOff>0</xdr:colOff>
                    <xdr:row>67</xdr:row>
                    <xdr:rowOff>47625</xdr:rowOff>
                  </to>
                </anchor>
              </controlPr>
            </control>
          </mc:Choice>
        </mc:AlternateContent>
        <mc:AlternateContent xmlns:mc="http://schemas.openxmlformats.org/markup-compatibility/2006">
          <mc:Choice Requires="x14">
            <control shapeId="12264" r:id="rId63" name="Check Box 1000">
              <controlPr defaultSize="0" autoFill="0" autoLine="0" autoPict="0">
                <anchor moveWithCells="1">
                  <from>
                    <xdr:col>0</xdr:col>
                    <xdr:colOff>0</xdr:colOff>
                    <xdr:row>67</xdr:row>
                    <xdr:rowOff>0</xdr:rowOff>
                  </from>
                  <to>
                    <xdr:col>3</xdr:col>
                    <xdr:colOff>0</xdr:colOff>
                    <xdr:row>68</xdr:row>
                    <xdr:rowOff>47625</xdr:rowOff>
                  </to>
                </anchor>
              </controlPr>
            </control>
          </mc:Choice>
        </mc:AlternateContent>
        <mc:AlternateContent xmlns:mc="http://schemas.openxmlformats.org/markup-compatibility/2006">
          <mc:Choice Requires="x14">
            <control shapeId="12265" r:id="rId64" name="Check Box 1001">
              <controlPr defaultSize="0" autoFill="0" autoLine="0" autoPict="0">
                <anchor moveWithCells="1">
                  <from>
                    <xdr:col>0</xdr:col>
                    <xdr:colOff>0</xdr:colOff>
                    <xdr:row>68</xdr:row>
                    <xdr:rowOff>0</xdr:rowOff>
                  </from>
                  <to>
                    <xdr:col>3</xdr:col>
                    <xdr:colOff>0</xdr:colOff>
                    <xdr:row>69</xdr:row>
                    <xdr:rowOff>47625</xdr:rowOff>
                  </to>
                </anchor>
              </controlPr>
            </control>
          </mc:Choice>
        </mc:AlternateContent>
        <mc:AlternateContent xmlns:mc="http://schemas.openxmlformats.org/markup-compatibility/2006">
          <mc:Choice Requires="x14">
            <control shapeId="12266" r:id="rId65" name="Check Box 1002">
              <controlPr defaultSize="0" autoFill="0" autoLine="0" autoPict="0">
                <anchor moveWithCells="1">
                  <from>
                    <xdr:col>0</xdr:col>
                    <xdr:colOff>0</xdr:colOff>
                    <xdr:row>69</xdr:row>
                    <xdr:rowOff>0</xdr:rowOff>
                  </from>
                  <to>
                    <xdr:col>3</xdr:col>
                    <xdr:colOff>0</xdr:colOff>
                    <xdr:row>70</xdr:row>
                    <xdr:rowOff>47625</xdr:rowOff>
                  </to>
                </anchor>
              </controlPr>
            </control>
          </mc:Choice>
        </mc:AlternateContent>
        <mc:AlternateContent xmlns:mc="http://schemas.openxmlformats.org/markup-compatibility/2006">
          <mc:Choice Requires="x14">
            <control shapeId="12267" r:id="rId66" name="Check Box 1003">
              <controlPr defaultSize="0" autoFill="0" autoLine="0" autoPict="0">
                <anchor moveWithCells="1">
                  <from>
                    <xdr:col>0</xdr:col>
                    <xdr:colOff>0</xdr:colOff>
                    <xdr:row>70</xdr:row>
                    <xdr:rowOff>0</xdr:rowOff>
                  </from>
                  <to>
                    <xdr:col>3</xdr:col>
                    <xdr:colOff>0</xdr:colOff>
                    <xdr:row>71</xdr:row>
                    <xdr:rowOff>47625</xdr:rowOff>
                  </to>
                </anchor>
              </controlPr>
            </control>
          </mc:Choice>
        </mc:AlternateContent>
        <mc:AlternateContent xmlns:mc="http://schemas.openxmlformats.org/markup-compatibility/2006">
          <mc:Choice Requires="x14">
            <control shapeId="12268" r:id="rId67" name="Check Box 1004">
              <controlPr defaultSize="0" autoFill="0" autoLine="0" autoPict="0">
                <anchor moveWithCells="1">
                  <from>
                    <xdr:col>0</xdr:col>
                    <xdr:colOff>0</xdr:colOff>
                    <xdr:row>71</xdr:row>
                    <xdr:rowOff>0</xdr:rowOff>
                  </from>
                  <to>
                    <xdr:col>3</xdr:col>
                    <xdr:colOff>0</xdr:colOff>
                    <xdr:row>72</xdr:row>
                    <xdr:rowOff>47625</xdr:rowOff>
                  </to>
                </anchor>
              </controlPr>
            </control>
          </mc:Choice>
        </mc:AlternateContent>
        <mc:AlternateContent xmlns:mc="http://schemas.openxmlformats.org/markup-compatibility/2006">
          <mc:Choice Requires="x14">
            <control shapeId="12269" r:id="rId68" name="Check Box 1005">
              <controlPr defaultSize="0" autoFill="0" autoLine="0" autoPict="0">
                <anchor moveWithCells="1">
                  <from>
                    <xdr:col>0</xdr:col>
                    <xdr:colOff>0</xdr:colOff>
                    <xdr:row>72</xdr:row>
                    <xdr:rowOff>0</xdr:rowOff>
                  </from>
                  <to>
                    <xdr:col>3</xdr:col>
                    <xdr:colOff>0</xdr:colOff>
                    <xdr:row>73</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O100"/>
  <sheetViews>
    <sheetView zoomScaleNormal="100" workbookViewId="0"/>
  </sheetViews>
  <sheetFormatPr defaultRowHeight="14.25" x14ac:dyDescent="0.45"/>
  <cols>
    <col min="1" max="1" width="8.59765625" customWidth="1"/>
    <col min="2" max="5" width="9.59765625" customWidth="1"/>
    <col min="6" max="6" width="4.86328125" customWidth="1"/>
    <col min="7" max="7" width="8.59765625" customWidth="1"/>
    <col min="8" max="8" width="9.86328125" customWidth="1"/>
    <col min="9" max="11" width="9.59765625" customWidth="1"/>
    <col min="12" max="12" width="9.1328125" hidden="1" customWidth="1"/>
    <col min="13" max="13" width="16.59765625" hidden="1" customWidth="1"/>
    <col min="14" max="14" width="9.1328125" hidden="1" customWidth="1"/>
    <col min="15" max="15" width="18.73046875" hidden="1" customWidth="1"/>
  </cols>
  <sheetData>
    <row r="1" spans="1:11" ht="18" x14ac:dyDescent="0.55000000000000004">
      <c r="A1" s="101" t="s">
        <v>479</v>
      </c>
      <c r="B1" s="241" t="s">
        <v>653</v>
      </c>
      <c r="C1" s="241"/>
      <c r="D1" s="241"/>
      <c r="E1" s="241"/>
      <c r="F1" s="241"/>
      <c r="G1" s="241"/>
      <c r="H1" s="241"/>
      <c r="I1" s="241"/>
      <c r="J1" s="241"/>
      <c r="K1" s="70"/>
    </row>
    <row r="3" spans="1:11" ht="14.65" thickBot="1" x14ac:dyDescent="0.5">
      <c r="A3" t="s">
        <v>92</v>
      </c>
      <c r="G3" t="s">
        <v>93</v>
      </c>
    </row>
    <row r="4" spans="1:11" ht="18.399999999999999" thickBot="1" x14ac:dyDescent="0.6">
      <c r="A4" s="242" t="str">
        <f ca="1">Car_Make</f>
        <v/>
      </c>
      <c r="B4" s="243"/>
      <c r="C4" s="243"/>
      <c r="D4" s="243"/>
      <c r="E4" s="244"/>
      <c r="G4" s="242" t="str">
        <f ca="1">Car_Model</f>
        <v/>
      </c>
      <c r="H4" s="243"/>
      <c r="I4" s="243"/>
      <c r="J4" s="243"/>
      <c r="K4" s="244"/>
    </row>
    <row r="5" spans="1:11" ht="21" customHeight="1" thickBot="1" x14ac:dyDescent="0.5">
      <c r="A5" t="s">
        <v>454</v>
      </c>
      <c r="G5" t="s">
        <v>91</v>
      </c>
      <c r="J5" t="s">
        <v>456</v>
      </c>
    </row>
    <row r="6" spans="1:11" ht="18.399999999999999" thickBot="1" x14ac:dyDescent="0.6">
      <c r="A6" s="242" t="str">
        <f ca="1">INDEX(Selected_Vehicle,3) &amp;" - " &amp; INDEX(Selected_Vehicle,4)</f>
        <v xml:space="preserve"> - </v>
      </c>
      <c r="B6" s="243"/>
      <c r="C6" s="243"/>
      <c r="D6" s="243"/>
      <c r="E6" s="244"/>
      <c r="G6" s="248" t="str">
        <f ca="1">TEXT(Car_Base_Points,"0.0")</f>
        <v/>
      </c>
      <c r="H6" s="249"/>
      <c r="I6" s="61"/>
      <c r="J6" s="248" t="str">
        <f ca="1">Car_Base_Class</f>
        <v/>
      </c>
      <c r="K6" s="249"/>
    </row>
    <row r="8" spans="1:11" x14ac:dyDescent="0.45">
      <c r="A8" s="250" t="str">
        <f ca="1">IF(Safety_mods,"Safety Upgrades Required for vehicles with 31+ modification points",IF(Safety_Engine,"Safety Upgrades Required for vehicles with 16+ engine modification points",""))</f>
        <v/>
      </c>
      <c r="B8" s="250"/>
      <c r="C8" s="250"/>
      <c r="D8" s="250"/>
      <c r="E8" s="250"/>
      <c r="G8" s="247" t="s">
        <v>123</v>
      </c>
      <c r="H8" s="247"/>
      <c r="I8" s="247"/>
      <c r="J8" s="203" t="str">
        <f ca="1">Factory_Rated_HP</f>
        <v/>
      </c>
      <c r="K8" s="203"/>
    </row>
    <row r="9" spans="1:11" x14ac:dyDescent="0.45">
      <c r="A9" s="250"/>
      <c r="B9" s="250"/>
      <c r="C9" s="250"/>
      <c r="D9" s="250"/>
      <c r="E9" s="250"/>
      <c r="G9" s="247" t="s">
        <v>267</v>
      </c>
      <c r="H9" s="247"/>
      <c r="I9" s="247"/>
      <c r="J9" s="203" t="str">
        <f ca="1">Factory_Rated_Torque</f>
        <v/>
      </c>
      <c r="K9" s="203"/>
    </row>
    <row r="10" spans="1:11" x14ac:dyDescent="0.45">
      <c r="A10" s="250"/>
      <c r="B10" s="250"/>
      <c r="C10" s="250"/>
      <c r="D10" s="250"/>
      <c r="E10" s="250"/>
      <c r="G10" s="247" t="s">
        <v>64</v>
      </c>
      <c r="H10" s="247"/>
      <c r="I10" s="247"/>
      <c r="J10" s="203" t="str">
        <f ca="1">Showroom_Base_Weight</f>
        <v/>
      </c>
      <c r="K10" s="203"/>
    </row>
    <row r="11" spans="1:11" x14ac:dyDescent="0.45">
      <c r="G11" s="247" t="s">
        <v>65</v>
      </c>
      <c r="H11" s="247"/>
      <c r="I11" s="247"/>
      <c r="J11" s="203">
        <f>Competition_Weight</f>
        <v>0</v>
      </c>
      <c r="K11" s="203"/>
    </row>
    <row r="12" spans="1:11" ht="18" x14ac:dyDescent="0.55000000000000004">
      <c r="A12" s="245" t="s">
        <v>455</v>
      </c>
      <c r="B12" s="245"/>
      <c r="C12" s="245"/>
      <c r="D12" s="245"/>
      <c r="E12" s="245"/>
      <c r="G12" s="246"/>
      <c r="H12" s="246"/>
      <c r="I12" s="246"/>
      <c r="J12" s="246"/>
      <c r="K12" s="246"/>
    </row>
    <row r="13" spans="1:11" ht="18" x14ac:dyDescent="0.55000000000000004">
      <c r="A13" s="239" t="s">
        <v>458</v>
      </c>
      <c r="B13" s="239"/>
      <c r="C13" s="239"/>
      <c r="E13" s="60">
        <f>Total_Engine</f>
        <v>0</v>
      </c>
      <c r="G13" s="201" t="str">
        <f>IF(ISNUMBER(Scrutineer_Engine_Points), "Scrutineer Engine Points", "")</f>
        <v/>
      </c>
      <c r="H13" s="201"/>
      <c r="I13" s="201"/>
      <c r="J13" s="238" t="str">
        <f>IF(ISNUMBER(Scrutineer_Engine_Points), Scrutineer_Engine_Points, "")</f>
        <v/>
      </c>
      <c r="K13" s="238"/>
    </row>
    <row r="14" spans="1:11" x14ac:dyDescent="0.45">
      <c r="G14" s="201" t="str">
        <f>IF(ISNUMBER(Scrutineer_Engine_Points), "Scrutineer HP/Torque", "")</f>
        <v/>
      </c>
      <c r="H14" s="201"/>
      <c r="I14" s="201"/>
      <c r="J14" s="204" t="str">
        <f>IF(ISNUMBER(Scrutineer_Engine_Points), Scrutineer_HP &amp; "/" &amp; Scrutineer_Torque &amp; " " &amp; Engine_power_type, "")</f>
        <v/>
      </c>
      <c r="K14" s="204"/>
    </row>
    <row r="15" spans="1:11" ht="18" x14ac:dyDescent="0.55000000000000004">
      <c r="A15" s="239" t="s">
        <v>29</v>
      </c>
      <c r="B15" s="239"/>
      <c r="C15" s="239"/>
      <c r="E15" s="60">
        <f>Total_Drivetrain</f>
        <v>0</v>
      </c>
      <c r="G15" s="201" t="str">
        <f>IF(ISNUMBER(Scrutineer_Engine_Points), "Dyno Type", "")</f>
        <v/>
      </c>
      <c r="H15" s="201"/>
      <c r="I15" s="201"/>
      <c r="J15" s="204" t="str">
        <f>IF(ISNUMBER(Scrutineer_Engine_Points), Drivetrain_type, "")</f>
        <v/>
      </c>
      <c r="K15" s="204"/>
    </row>
    <row r="17" spans="1:11" ht="18" x14ac:dyDescent="0.55000000000000004">
      <c r="A17" s="239" t="s">
        <v>43</v>
      </c>
      <c r="B17" s="239"/>
      <c r="C17" s="239"/>
      <c r="E17" s="60">
        <f>Total_Suspension</f>
        <v>0</v>
      </c>
      <c r="G17" s="201" t="s">
        <v>457</v>
      </c>
      <c r="H17" s="201"/>
      <c r="I17" s="201"/>
      <c r="J17" s="203" t="str">
        <f>TEXT(Weight_Difference,"0") &amp; IF(Weight_Difference &gt; 0, " over", " under")</f>
        <v>0 under</v>
      </c>
      <c r="K17" s="203"/>
    </row>
    <row r="18" spans="1:11" x14ac:dyDescent="0.45">
      <c r="G18" s="201" t="str">
        <f>Weight!A19</f>
        <v>Ballast Amount (lbs)</v>
      </c>
      <c r="H18" s="201"/>
      <c r="I18" s="201"/>
      <c r="J18" s="203">
        <f>BallastAmount</f>
        <v>0</v>
      </c>
      <c r="K18" s="203"/>
    </row>
    <row r="19" spans="1:11" ht="18" x14ac:dyDescent="0.55000000000000004">
      <c r="A19" s="239" t="s">
        <v>45</v>
      </c>
      <c r="B19" s="239"/>
      <c r="C19" s="239"/>
      <c r="E19" s="60">
        <f>Total_Brakes</f>
        <v>0</v>
      </c>
      <c r="G19" s="201" t="str">
        <f>Weight!A20</f>
        <v>Ballast Location</v>
      </c>
      <c r="H19" s="201"/>
      <c r="I19" s="201"/>
      <c r="J19" s="202">
        <f>BallastLocation</f>
        <v>0</v>
      </c>
      <c r="K19" s="202"/>
    </row>
    <row r="20" spans="1:11" x14ac:dyDescent="0.45">
      <c r="G20" s="201" t="s">
        <v>607</v>
      </c>
      <c r="H20" s="201"/>
      <c r="I20" s="201"/>
      <c r="J20" s="203" t="str">
        <f>BallastFuelLevel</f>
        <v>1/2</v>
      </c>
      <c r="K20" s="203"/>
    </row>
    <row r="21" spans="1:11" ht="18" x14ac:dyDescent="0.55000000000000004">
      <c r="A21" s="239" t="s">
        <v>80</v>
      </c>
      <c r="B21" s="239"/>
      <c r="C21" s="239"/>
      <c r="E21" s="60">
        <f>Total_Exterior</f>
        <v>0</v>
      </c>
      <c r="G21" s="201"/>
      <c r="H21" s="201"/>
      <c r="I21" s="201"/>
      <c r="J21" s="204"/>
      <c r="K21" s="204"/>
    </row>
    <row r="23" spans="1:11" ht="18" x14ac:dyDescent="0.55000000000000004">
      <c r="A23" s="239" t="s">
        <v>81</v>
      </c>
      <c r="B23" s="239"/>
      <c r="C23" s="239"/>
      <c r="E23" s="60" t="str">
        <f>Total_Weight</f>
        <v>Enter Weight</v>
      </c>
    </row>
    <row r="24" spans="1:11" x14ac:dyDescent="0.45">
      <c r="G24" s="63"/>
      <c r="H24" s="63"/>
      <c r="I24" s="63"/>
      <c r="J24" s="62"/>
      <c r="K24" s="62"/>
    </row>
    <row r="25" spans="1:11" ht="18" x14ac:dyDescent="0.55000000000000004">
      <c r="A25" s="239" t="s">
        <v>459</v>
      </c>
      <c r="B25" s="239"/>
      <c r="C25" s="239"/>
      <c r="E25" s="60" t="str">
        <f>Total_Tire</f>
        <v>No Tire</v>
      </c>
      <c r="G25" s="201" t="s">
        <v>460</v>
      </c>
      <c r="H25" s="201"/>
      <c r="I25" s="201"/>
      <c r="J25" s="203" t="e">
        <f ca="1">Tire_Compound</f>
        <v>#N/A</v>
      </c>
      <c r="K25" s="203"/>
    </row>
    <row r="26" spans="1:11" ht="14.65" thickBot="1" x14ac:dyDescent="0.5">
      <c r="H26" s="201" t="s">
        <v>532</v>
      </c>
      <c r="I26" s="201"/>
      <c r="J26" s="203" t="str">
        <f>Tire_Width</f>
        <v>Enter Width</v>
      </c>
      <c r="K26" s="203"/>
    </row>
    <row r="27" spans="1:11" ht="18.399999999999999" thickBot="1" x14ac:dyDescent="0.6">
      <c r="A27" s="240" t="s">
        <v>482</v>
      </c>
      <c r="B27" s="240"/>
      <c r="C27" s="240"/>
      <c r="E27" s="72">
        <f>Points_Assessment</f>
        <v>0</v>
      </c>
      <c r="H27" s="201" t="s">
        <v>462</v>
      </c>
      <c r="I27" s="201"/>
      <c r="J27" s="203" t="e">
        <f>Tire_spec_width</f>
        <v>#N/A</v>
      </c>
      <c r="K27" s="203"/>
    </row>
    <row r="30" spans="1:11" ht="18.399999999999999" thickBot="1" x14ac:dyDescent="0.6">
      <c r="A30" s="228" t="s">
        <v>463</v>
      </c>
      <c r="B30" s="228"/>
      <c r="C30" s="228"/>
      <c r="D30" s="228"/>
      <c r="E30" s="228"/>
      <c r="G30" s="231" t="s">
        <v>464</v>
      </c>
      <c r="H30" s="231"/>
      <c r="I30" s="231"/>
      <c r="J30" s="231"/>
      <c r="K30" s="231"/>
    </row>
    <row r="31" spans="1:11" ht="18.75" thickTop="1" thickBot="1" x14ac:dyDescent="0.6">
      <c r="D31" s="229" t="str">
        <f ca="1">TEXT(Total_Assessment,"0.0")</f>
        <v>No Vehicle</v>
      </c>
      <c r="E31" s="230"/>
      <c r="F31" s="74"/>
      <c r="G31" s="232" t="str">
        <f>TEXT(Touring_Class,"0.0")</f>
        <v>Tire Class Not Set</v>
      </c>
      <c r="H31" s="230"/>
      <c r="I31" s="73"/>
    </row>
    <row r="32" spans="1:11" ht="14.65" thickTop="1" x14ac:dyDescent="0.45"/>
    <row r="33" spans="1:15" x14ac:dyDescent="0.45">
      <c r="A33" s="64" t="s">
        <v>483</v>
      </c>
    </row>
    <row r="36" spans="1:15" x14ac:dyDescent="0.45">
      <c r="A36" t="s">
        <v>465</v>
      </c>
    </row>
    <row r="38" spans="1:15" ht="18" x14ac:dyDescent="0.55000000000000004">
      <c r="A38" s="233"/>
      <c r="B38" s="233"/>
      <c r="C38" s="233"/>
      <c r="E38" s="233"/>
      <c r="F38" s="233"/>
      <c r="G38" s="233"/>
      <c r="I38" s="234"/>
      <c r="J38" s="233"/>
    </row>
    <row r="39" spans="1:15" x14ac:dyDescent="0.45">
      <c r="A39" s="227" t="s">
        <v>466</v>
      </c>
      <c r="B39" s="227"/>
      <c r="C39" s="227"/>
      <c r="E39" s="227" t="s">
        <v>467</v>
      </c>
      <c r="F39" s="227"/>
      <c r="G39" s="227"/>
      <c r="I39" s="227" t="s">
        <v>468</v>
      </c>
      <c r="J39" s="227"/>
    </row>
    <row r="41" spans="1:15" x14ac:dyDescent="0.45">
      <c r="A41" s="236"/>
      <c r="B41" s="236"/>
      <c r="C41" s="236"/>
      <c r="D41" s="236"/>
      <c r="E41" s="236"/>
    </row>
    <row r="42" spans="1:15" ht="18.75" customHeight="1" x14ac:dyDescent="0.45">
      <c r="A42" s="237"/>
      <c r="B42" s="237"/>
      <c r="C42" s="237"/>
      <c r="D42" s="237"/>
      <c r="E42" s="237"/>
    </row>
    <row r="43" spans="1:15" x14ac:dyDescent="0.45">
      <c r="A43" t="s">
        <v>469</v>
      </c>
    </row>
    <row r="44" spans="1:15" x14ac:dyDescent="0.45">
      <c r="A44" s="64" t="s">
        <v>470</v>
      </c>
    </row>
    <row r="46" spans="1:15" ht="14.1" customHeight="1" x14ac:dyDescent="0.45">
      <c r="B46" s="235" t="s">
        <v>21</v>
      </c>
      <c r="C46" s="235"/>
      <c r="H46" s="71" t="s">
        <v>29</v>
      </c>
      <c r="M46" s="100" t="s">
        <v>21</v>
      </c>
      <c r="N46" s="100"/>
      <c r="O46" s="71" t="s">
        <v>29</v>
      </c>
    </row>
    <row r="47" spans="1:15" ht="14.1" customHeight="1" x14ac:dyDescent="0.45">
      <c r="A47" s="226">
        <f>INDEX(Public_Engine_Mods, 1, 2)</f>
        <v>1</v>
      </c>
      <c r="B47" s="219" t="str">
        <f>INDEX(Public_Engine_Mods, 1, 3)</f>
        <v>Reprogrammed Factory Trim (includes ROM chips) ECU, naturally aspirated engine</v>
      </c>
      <c r="C47" s="219"/>
      <c r="D47" s="219"/>
      <c r="E47" s="219"/>
      <c r="F47" s="65"/>
      <c r="G47" s="69">
        <f>INDEX(Public_Drivetrain_Mods, 1, 2)</f>
        <v>6</v>
      </c>
      <c r="H47" s="211" t="str">
        <f>INDEX(Public_Drivetrain_Mods, 1, 3)</f>
        <v>Non-Factory Trim sequential gearbox</v>
      </c>
      <c r="I47" s="211"/>
      <c r="J47" s="211"/>
      <c r="K47" s="211"/>
      <c r="M47" s="226" t="b">
        <f>INDEX(Public_Engine_Mods, 1, 4)</f>
        <v>0</v>
      </c>
      <c r="O47" s="69" t="b">
        <f>INDEX(Public_Drivetrain_Mods, 1, 4)</f>
        <v>0</v>
      </c>
    </row>
    <row r="48" spans="1:15" ht="14.1" customHeight="1" x14ac:dyDescent="0.45">
      <c r="A48" s="226"/>
      <c r="B48" s="219"/>
      <c r="C48" s="219"/>
      <c r="D48" s="219"/>
      <c r="E48" s="219"/>
      <c r="F48" s="65"/>
      <c r="G48" s="69">
        <f>INDEX(Public_Drivetrain_Mods, 2, 2)</f>
        <v>4</v>
      </c>
      <c r="H48" s="211" t="str">
        <f>INDEX(Public_Drivetrain_Mods, 2, 3)</f>
        <v>Non-Factory Trim non-sequential (H pattern) Dogbox gearbox</v>
      </c>
      <c r="I48" s="211"/>
      <c r="J48" s="211"/>
      <c r="K48" s="211"/>
      <c r="M48" s="226"/>
      <c r="O48" s="69" t="b">
        <f>INDEX(Public_Drivetrain_Mods, 2, 4)</f>
        <v>0</v>
      </c>
    </row>
    <row r="49" spans="1:15" ht="14.1" customHeight="1" x14ac:dyDescent="0.45">
      <c r="A49" s="68">
        <f>INDEX(Public_Engine_Mods, 2, 2)</f>
        <v>2</v>
      </c>
      <c r="B49" s="211" t="str">
        <f>INDEX(Public_Engine_Mods, 2, 3)</f>
        <v>Non-Factory Trim ECU, naturally aspirated engine</v>
      </c>
      <c r="C49" s="211"/>
      <c r="D49" s="211"/>
      <c r="E49" s="211"/>
      <c r="F49" s="65"/>
      <c r="G49" s="69">
        <f>INDEX(Public_Drivetrain_Mods, 3, 2)</f>
        <v>3</v>
      </c>
      <c r="H49" s="211" t="str">
        <f>INDEX(Public_Drivetrain_Mods, 3, 3)</f>
        <v>Dual clutch transmission - DSG, DCT, PDK, etc</v>
      </c>
      <c r="I49" s="211"/>
      <c r="J49" s="211"/>
      <c r="K49" s="211"/>
      <c r="M49" s="68" t="b">
        <f>INDEX(Public_Engine_Mods, 2, 4)</f>
        <v>0</v>
      </c>
      <c r="O49" s="69" t="b">
        <f>INDEX(Public_Drivetrain_Mods, 3, 4)</f>
        <v>0</v>
      </c>
    </row>
    <row r="50" spans="1:15" ht="14.1" customHeight="1" x14ac:dyDescent="0.45">
      <c r="A50" s="212">
        <f>INDEX(Public_Engine_Mods, 3, 2)</f>
        <v>3</v>
      </c>
      <c r="B50" s="219" t="str">
        <f>INDEX(Public_Engine_Mods, 3, 3)</f>
        <v>Reprogrammed Factory Trim (includes ROM chips) ECU, forced induction engine air/fuel change only. If applicable, additional points must be added for an increase in boost.</v>
      </c>
      <c r="C50" s="219"/>
      <c r="D50" s="219"/>
      <c r="E50" s="219"/>
      <c r="F50" s="65"/>
      <c r="G50" s="212">
        <f>INDEX(Public_Drivetrain_Mods, 5, 2)</f>
        <v>1</v>
      </c>
      <c r="H50" s="213" t="str">
        <f>INDEX(Public_Drivetrain_Mods, 5, 3)</f>
        <v>Automated single clutch manual transmission - SMG, Ferrari F1, Lambo E-Gear etc</v>
      </c>
      <c r="I50" s="214"/>
      <c r="J50" s="214"/>
      <c r="K50" s="215"/>
      <c r="M50" s="212" t="b">
        <f>INDEX(Public_Engine_Mods, 3, 4)</f>
        <v>0</v>
      </c>
      <c r="O50" s="212" t="b">
        <f>INDEX(Public_Drivetrain_Mods, 5, 4)</f>
        <v>0</v>
      </c>
    </row>
    <row r="51" spans="1:15" ht="14.1" customHeight="1" x14ac:dyDescent="0.45">
      <c r="A51" s="212"/>
      <c r="B51" s="219"/>
      <c r="C51" s="219"/>
      <c r="D51" s="219"/>
      <c r="E51" s="219"/>
      <c r="F51" s="65"/>
      <c r="G51" s="212"/>
      <c r="H51" s="216"/>
      <c r="I51" s="217"/>
      <c r="J51" s="217"/>
      <c r="K51" s="218"/>
      <c r="M51" s="212"/>
      <c r="O51" s="212"/>
    </row>
    <row r="52" spans="1:15" ht="14.1" customHeight="1" x14ac:dyDescent="0.45">
      <c r="A52" s="68">
        <f>INDEX(Public_Engine_Mods, 4, 2)</f>
        <v>4</v>
      </c>
      <c r="B52" s="211" t="str">
        <f>INDEX(Public_Engine_Mods, 4, 3)</f>
        <v>Non-Factory Trim ECU, forced induction engine engine air/fuel change only. If applicable, additional points must be added for an increase in boost.</v>
      </c>
      <c r="C52" s="211"/>
      <c r="D52" s="211"/>
      <c r="E52" s="211"/>
      <c r="F52" s="65"/>
      <c r="G52" s="69">
        <f>INDEX(Public_Drivetrain_Mods, 6, 2)</f>
        <v>1</v>
      </c>
      <c r="H52" s="211" t="str">
        <f>INDEX(Public_Drivetrain_Mods, 6, 3)</f>
        <v>Manual tranmission with factory autoblip (Nissan 370Z, BMW M2, C7 Corvette, Porsche) or aftermarket add-on</v>
      </c>
      <c r="I52" s="211"/>
      <c r="J52" s="211"/>
      <c r="K52" s="211"/>
      <c r="M52" s="68" t="b">
        <f>INDEX(Public_Engine_Mods, 4, 4)</f>
        <v>0</v>
      </c>
      <c r="O52" s="69" t="b">
        <f>INDEX(Public_Drivetrain_Mods, 6, 4)</f>
        <v>0</v>
      </c>
    </row>
    <row r="53" spans="1:15" ht="14.1" customHeight="1" x14ac:dyDescent="0.45">
      <c r="A53" s="69">
        <f>INDEX(Public_Engine_Mods, 5, 2)</f>
        <v>2</v>
      </c>
      <c r="B53" s="211" t="str">
        <f>INDEX(Public_Engine_Mods, 5, 3)</f>
        <v>Turbo Boost increase &lt;50%</v>
      </c>
      <c r="C53" s="211"/>
      <c r="D53" s="211"/>
      <c r="E53" s="211"/>
      <c r="F53" s="65"/>
      <c r="G53" s="212">
        <f>INDEX(Public_Drivetrain_Mods, 7, 2)</f>
        <v>0</v>
      </c>
      <c r="H53" s="213" t="str">
        <f>INDEX(Public_Drivetrain_Mods, 7, 3)</f>
        <v>5 or 6 speed manual transmission</v>
      </c>
      <c r="I53" s="214"/>
      <c r="J53" s="214"/>
      <c r="K53" s="215"/>
      <c r="M53" s="69" t="b">
        <f>INDEX(Public_Engine_Mods, 5, 4)</f>
        <v>0</v>
      </c>
      <c r="O53" s="212" t="b">
        <f>INDEX(Public_Drivetrain_Mods, 7, 4)</f>
        <v>0</v>
      </c>
    </row>
    <row r="54" spans="1:15" ht="14.1" customHeight="1" x14ac:dyDescent="0.45">
      <c r="A54" s="69">
        <f>INDEX(Public_Engine_Mods, 6, 2)</f>
        <v>4</v>
      </c>
      <c r="B54" s="211" t="str">
        <f>INDEX(Public_Engine_Mods, 6, 3)</f>
        <v>Turbo Boost increase &gt;50%</v>
      </c>
      <c r="C54" s="211"/>
      <c r="D54" s="211"/>
      <c r="E54" s="211"/>
      <c r="F54" s="65"/>
      <c r="G54" s="212"/>
      <c r="H54" s="216"/>
      <c r="I54" s="217"/>
      <c r="J54" s="217"/>
      <c r="K54" s="218"/>
      <c r="M54" s="69" t="b">
        <f>INDEX(Public_Engine_Mods, 6, 4)</f>
        <v>0</v>
      </c>
      <c r="O54" s="212"/>
    </row>
    <row r="55" spans="1:15" ht="14.1" customHeight="1" x14ac:dyDescent="0.45">
      <c r="A55" s="69">
        <f>INDEX(Public_Engine_Mods, 7, 2)</f>
        <v>1</v>
      </c>
      <c r="B55" s="211" t="str">
        <f>INDEX(Public_Engine_Mods, 7, 3)</f>
        <v>Non-Factory Trim/modified air intake before the throttle body</v>
      </c>
      <c r="C55" s="211"/>
      <c r="D55" s="211"/>
      <c r="E55" s="211"/>
      <c r="F55" s="65"/>
      <c r="G55" s="69">
        <f>INDEX(Public_Drivetrain_Mods, 8, 2)</f>
        <v>-1</v>
      </c>
      <c r="H55" s="211" t="str">
        <f>INDEX(Public_Drivetrain_Mods, 8, 3)</f>
        <v>3 or 4 speed manual transmission</v>
      </c>
      <c r="I55" s="211"/>
      <c r="J55" s="211"/>
      <c r="K55" s="211"/>
      <c r="M55" s="69" t="b">
        <f>INDEX(Public_Engine_Mods, 7, 4)</f>
        <v>0</v>
      </c>
      <c r="O55" s="69" t="b">
        <f>INDEX(Public_Drivetrain_Mods, 8, 4)</f>
        <v>0</v>
      </c>
    </row>
    <row r="56" spans="1:15" ht="14.1" customHeight="1" x14ac:dyDescent="0.45">
      <c r="A56" s="69">
        <f>INDEX(Public_Engine_Mods, 8, 2)</f>
        <v>1</v>
      </c>
      <c r="B56" s="211" t="str">
        <f>INDEX(Public_Engine_Mods, 8, 3)</f>
        <v>Non-factory trim/modified headlight to allow increased or cooler air flow to engine air intake, unless already taking one point for cold air intake.</v>
      </c>
      <c r="C56" s="211"/>
      <c r="D56" s="211"/>
      <c r="E56" s="211"/>
      <c r="F56" s="65"/>
      <c r="G56" s="69">
        <f>INDEX(Public_Drivetrain_Mods, 9, 2)</f>
        <v>-2</v>
      </c>
      <c r="H56" s="211" t="str">
        <f>INDEX(Public_Drivetrain_Mods, 9, 3)</f>
        <v>Automatic transmission with 6 speeds or less</v>
      </c>
      <c r="I56" s="211"/>
      <c r="J56" s="211"/>
      <c r="K56" s="211"/>
      <c r="M56" s="69" t="b">
        <f>INDEX(Public_Engine_Mods, 8, 4)</f>
        <v>0</v>
      </c>
      <c r="O56" s="69" t="b">
        <f>INDEX(Public_Drivetrain_Mods, 9, 4)</f>
        <v>0</v>
      </c>
    </row>
    <row r="57" spans="1:15" ht="14.1" customHeight="1" x14ac:dyDescent="0.45">
      <c r="A57" s="69">
        <f>INDEX(Public_Engine_Mods, 9, 2)</f>
        <v>1</v>
      </c>
      <c r="B57" s="211" t="str">
        <f>INDEX(Public_Engine_Mods, 9, 3)</f>
        <v>Non-Factory Trim/modified throttle body</v>
      </c>
      <c r="C57" s="211"/>
      <c r="D57" s="211"/>
      <c r="E57" s="211"/>
      <c r="F57" s="65"/>
      <c r="G57" s="69">
        <f>INDEX(Public_Drivetrain_Mods, 10, 2)</f>
        <v>-2</v>
      </c>
      <c r="H57" s="211" t="str">
        <f>INDEX(Public_Drivetrain_Mods, 10, 3)</f>
        <v>CVT Transmission</v>
      </c>
      <c r="I57" s="211"/>
      <c r="J57" s="211"/>
      <c r="K57" s="211"/>
      <c r="M57" s="69" t="b">
        <f>INDEX(Public_Engine_Mods, 9, 4)</f>
        <v>0</v>
      </c>
      <c r="O57" s="69" t="b">
        <f>INDEX(Public_Drivetrain_Mods, 10, 4)</f>
        <v>0</v>
      </c>
    </row>
    <row r="58" spans="1:15" ht="14.1" customHeight="1" x14ac:dyDescent="0.45">
      <c r="A58" s="69">
        <f>INDEX(Public_Engine_Mods, 10, 2)</f>
        <v>1</v>
      </c>
      <c r="B58" s="211" t="str">
        <f>INDEX(Public_Engine_Mods, 10, 3)</f>
        <v>Non-Factory Trim/modified fuel delivery system, except fuel pump(s) (i.e. fuel injectors, fuel rails, fuel regulators)</v>
      </c>
      <c r="C58" s="211"/>
      <c r="D58" s="211"/>
      <c r="E58" s="211"/>
      <c r="F58" s="65"/>
      <c r="G58" s="69"/>
      <c r="H58" s="71" t="s">
        <v>43</v>
      </c>
      <c r="I58" s="66"/>
      <c r="J58" s="66"/>
      <c r="K58" s="66"/>
      <c r="M58" s="69" t="b">
        <f>INDEX(Public_Engine_Mods, 10, 4)</f>
        <v>0</v>
      </c>
      <c r="O58" s="71" t="s">
        <v>43</v>
      </c>
    </row>
    <row r="59" spans="1:15" ht="14.1" customHeight="1" x14ac:dyDescent="0.45">
      <c r="A59" s="226">
        <f>INDEX(Public_Engine_Mods, 11, 2)</f>
        <v>1</v>
      </c>
      <c r="B59" s="219" t="str">
        <f>INDEX(Public_Engine_Mods, 11, 3)</f>
        <v>Non-Factory Trim/modified intake manifold 1-6 cylinder engines, including manifold porting</v>
      </c>
      <c r="C59" s="219"/>
      <c r="D59" s="219"/>
      <c r="E59" s="219"/>
      <c r="F59" s="65"/>
      <c r="G59" s="69">
        <f>INDEX(Public_Suspension_Mods, 1, 2)</f>
        <v>1</v>
      </c>
      <c r="H59" s="219" t="str">
        <f>INDEX(Public_Suspension_Mods, 1, 3)</f>
        <v>Non-Factory Trim non-adjustable shocks, struts, dampers</v>
      </c>
      <c r="I59" s="219"/>
      <c r="J59" s="219"/>
      <c r="K59" s="219"/>
      <c r="M59" s="226" t="b">
        <f>INDEX(Public_Engine_Mods, 11, 4)</f>
        <v>0</v>
      </c>
      <c r="O59" s="69" t="b">
        <f>INDEX(Public_Suspension_Mods, 1, 4)</f>
        <v>0</v>
      </c>
    </row>
    <row r="60" spans="1:15" ht="14.1" customHeight="1" x14ac:dyDescent="0.45">
      <c r="A60" s="226"/>
      <c r="B60" s="219"/>
      <c r="C60" s="219"/>
      <c r="D60" s="219"/>
      <c r="E60" s="219"/>
      <c r="F60" s="65"/>
      <c r="G60" s="69">
        <f>INDEX(Public_Suspension_Mods, 2, 2)</f>
        <v>1</v>
      </c>
      <c r="H60" s="219" t="str">
        <f>INDEX(Public_Suspension_Mods, 2, 3)</f>
        <v>Non-Factory Trim 1-way adjustable shocks, struts, dampers</v>
      </c>
      <c r="I60" s="219"/>
      <c r="J60" s="219"/>
      <c r="K60" s="219"/>
      <c r="M60" s="226"/>
      <c r="O60" s="69" t="b">
        <f>INDEX(Public_Suspension_Mods, 2, 4)</f>
        <v>0</v>
      </c>
    </row>
    <row r="61" spans="1:15" ht="14.1" customHeight="1" x14ac:dyDescent="0.45">
      <c r="A61" s="226">
        <f>INDEX(Public_Engine_Mods, 12, 2)</f>
        <v>2</v>
      </c>
      <c r="B61" s="219" t="str">
        <f>INDEX(Public_Engine_Mods, 12, 3)</f>
        <v>Non-Factory Trim/modified intake manifold 7-12 cylinder engines, including manifold porting</v>
      </c>
      <c r="C61" s="219"/>
      <c r="D61" s="219"/>
      <c r="E61" s="219"/>
      <c r="F61" s="65"/>
      <c r="G61" s="69">
        <f>INDEX(Public_Suspension_Mods, 3, 2)</f>
        <v>2</v>
      </c>
      <c r="H61" s="219" t="str">
        <f>INDEX(Public_Suspension_Mods, 3, 3)</f>
        <v>Non-Factory Trim 2-way adjustable shocks, struts, dampers</v>
      </c>
      <c r="I61" s="219"/>
      <c r="J61" s="219"/>
      <c r="K61" s="219"/>
      <c r="M61" s="226" t="b">
        <f>INDEX(Public_Engine_Mods, 12, 4)</f>
        <v>0</v>
      </c>
      <c r="O61" s="69" t="b">
        <f>INDEX(Public_Suspension_Mods, 3, 4)</f>
        <v>0</v>
      </c>
    </row>
    <row r="62" spans="1:15" ht="14.1" customHeight="1" x14ac:dyDescent="0.45">
      <c r="A62" s="226"/>
      <c r="B62" s="219"/>
      <c r="C62" s="219"/>
      <c r="D62" s="219"/>
      <c r="E62" s="219"/>
      <c r="F62" s="65"/>
      <c r="G62" s="212">
        <f>INDEX(Public_Suspension_Mods, 4, 2)</f>
        <v>3</v>
      </c>
      <c r="H62" s="219" t="str">
        <f>INDEX(Public_Suspension_Mods, 4, 3)</f>
        <v>Non-Factory Trim 3-way (or more) adjustable shocks, struts, dampers</v>
      </c>
      <c r="I62" s="219"/>
      <c r="J62" s="219"/>
      <c r="K62" s="219"/>
      <c r="M62" s="226"/>
      <c r="O62" s="212" t="b">
        <f>INDEX(Public_Suspension_Mods, 4, 4)</f>
        <v>0</v>
      </c>
    </row>
    <row r="63" spans="1:15" ht="14.1" customHeight="1" x14ac:dyDescent="0.45">
      <c r="A63" s="69">
        <f>INDEX(Public_Engine_Mods, 13, 2)</f>
        <v>3</v>
      </c>
      <c r="B63" s="211" t="str">
        <f>INDEX(Public_Engine_Mods, 13, 3)</f>
        <v>Water-alcohol injection System</v>
      </c>
      <c r="C63" s="211"/>
      <c r="D63" s="211"/>
      <c r="E63" s="211"/>
      <c r="F63" s="65"/>
      <c r="G63" s="212"/>
      <c r="H63" s="219"/>
      <c r="I63" s="219"/>
      <c r="J63" s="219"/>
      <c r="K63" s="219"/>
      <c r="M63" s="69" t="b">
        <f>INDEX(Public_Engine_Mods, 13, 4)</f>
        <v>0</v>
      </c>
      <c r="O63" s="212"/>
    </row>
    <row r="64" spans="1:15" ht="14.1" customHeight="1" x14ac:dyDescent="0.45">
      <c r="A64" s="69" t="str">
        <f>INDEX(Public_Engine_Mods, 14, 2)</f>
        <v>Dyno</v>
      </c>
      <c r="B64" s="211" t="str">
        <f>INDEX(Public_Engine_Mods, 14, 3)</f>
        <v>Non-Factory Trim/modified supercharger or turbocharger, any location</v>
      </c>
      <c r="C64" s="211"/>
      <c r="D64" s="211"/>
      <c r="E64" s="211"/>
      <c r="F64" s="65"/>
      <c r="G64" s="69">
        <f>INDEX(Public_Suspension_Mods, 5, 2)</f>
        <v>1</v>
      </c>
      <c r="H64" s="219" t="str">
        <f>INDEX(Public_Suspension_Mods, 5, 3)</f>
        <v>Non-Factory Trim shocks, struts, dampers with piggyback canister or external remote canister – note: must also take points for shocks/struts/dampers as listed above</v>
      </c>
      <c r="I64" s="219"/>
      <c r="J64" s="219"/>
      <c r="K64" s="219"/>
      <c r="M64" s="69" t="b">
        <f>INDEX(Public_Engine_Mods, 14, 4)</f>
        <v>0</v>
      </c>
      <c r="O64" s="69" t="b">
        <f>INDEX(Public_Suspension_Mods, 5, 4)</f>
        <v>0</v>
      </c>
    </row>
    <row r="65" spans="1:15" ht="14.1" customHeight="1" x14ac:dyDescent="0.45">
      <c r="A65" s="69">
        <f>INDEX(Public_Engine_Mods, 15, 2)</f>
        <v>3</v>
      </c>
      <c r="B65" s="211" t="str">
        <f>INDEX(Public_Engine_Mods, 15, 3)</f>
        <v>Non-Factory Trim/modified supercharger pulley</v>
      </c>
      <c r="C65" s="211"/>
      <c r="D65" s="211"/>
      <c r="E65" s="211"/>
      <c r="F65" s="65"/>
      <c r="G65" s="69">
        <f>INDEX(Public_Suspension_Mods, 6, 2)</f>
        <v>2</v>
      </c>
      <c r="H65" s="219" t="str">
        <f>INDEX(Public_Suspension_Mods, 6, 3)</f>
        <v>Non-adjustable non-Factory Trim coil springs, leaf springs, or torsion bars (or non-modified factory height adjustment)</v>
      </c>
      <c r="I65" s="219"/>
      <c r="J65" s="219"/>
      <c r="K65" s="219"/>
      <c r="M65" s="69" t="b">
        <f>INDEX(Public_Engine_Mods, 15, 4)</f>
        <v>0</v>
      </c>
      <c r="O65" s="69" t="b">
        <f>INDEX(Public_Suspension_Mods, 6, 4)</f>
        <v>0</v>
      </c>
    </row>
    <row r="66" spans="1:15" ht="14.1" customHeight="1" x14ac:dyDescent="0.45">
      <c r="A66" s="69">
        <f>INDEX(Public_Engine_Mods, 16, 2)</f>
        <v>3</v>
      </c>
      <c r="B66" s="211" t="str">
        <f>INDEX(Public_Engine_Mods, 16, 3)</f>
        <v>Non-Factory Trim/modified boost controller or vacuum lines that control boost</v>
      </c>
      <c r="C66" s="211"/>
      <c r="D66" s="211"/>
      <c r="E66" s="211"/>
      <c r="F66" s="65"/>
      <c r="G66" s="69">
        <f>INDEX(Public_Suspension_Mods, 7, 2)</f>
        <v>3</v>
      </c>
      <c r="H66" s="219" t="str">
        <f>INDEX(Public_Suspension_Mods, 7, 3)</f>
        <v>Height adjustable non-Factory Trim coil springs, leaf springs, or torsion bars (or springs with modified factory height adjustment)</v>
      </c>
      <c r="I66" s="219"/>
      <c r="J66" s="219"/>
      <c r="K66" s="219"/>
      <c r="M66" s="69" t="b">
        <f>INDEX(Public_Engine_Mods, 16, 4)</f>
        <v>0</v>
      </c>
      <c r="O66" s="69" t="b">
        <f>INDEX(Public_Suspension_Mods, 7, 4)</f>
        <v>0</v>
      </c>
    </row>
    <row r="67" spans="1:15" ht="14.1" customHeight="1" x14ac:dyDescent="0.45">
      <c r="A67" s="69">
        <f>INDEX(Public_Engine_Mods, 17, 2)</f>
        <v>1</v>
      </c>
      <c r="B67" s="223" t="str">
        <f>INDEX(Public_Engine_Mods, 17, 3)</f>
        <v>Non-Factory Trim/modified wastegate, wastegate actuator</v>
      </c>
      <c r="C67" s="224"/>
      <c r="D67" s="224"/>
      <c r="E67" s="225"/>
      <c r="F67" s="65"/>
      <c r="G67" s="69">
        <f>INDEX(Public_Suspension_Mods, 8, 2)</f>
        <v>1</v>
      </c>
      <c r="H67" s="219" t="str">
        <f>INDEX(Public_Suspension_Mods, 8, 3)</f>
        <v>Torsion bar to coil spring conversion</v>
      </c>
      <c r="I67" s="219"/>
      <c r="J67" s="219"/>
      <c r="K67" s="219"/>
      <c r="M67" s="69" t="b">
        <f>INDEX(Public_Engine_Mods, 17, 4)</f>
        <v>0</v>
      </c>
      <c r="O67" s="69" t="b">
        <f>INDEX(Public_Suspension_Mods, 8, 4)</f>
        <v>0</v>
      </c>
    </row>
    <row r="68" spans="1:15" ht="14.1" customHeight="1" x14ac:dyDescent="0.45">
      <c r="A68" s="69">
        <f>INDEX(Public_Engine_Mods, 18, 2)</f>
        <v>2</v>
      </c>
      <c r="B68" s="220" t="str">
        <f>INDEX(Public_Engine_Mods, 18, 3)</f>
        <v>Non-Factory Trim/modified intercooler</v>
      </c>
      <c r="C68" s="221"/>
      <c r="D68" s="221"/>
      <c r="E68" s="222"/>
      <c r="F68" s="65"/>
      <c r="G68" s="212">
        <f>INDEX(Public_Suspension_Mods, 9, 2)</f>
        <v>1</v>
      </c>
      <c r="H68" s="219" t="str">
        <f>INDEX(Public_Suspension_Mods, 9, 3)</f>
        <v>Non-Factory Trim sway bars</v>
      </c>
      <c r="I68" s="219"/>
      <c r="J68" s="219"/>
      <c r="K68" s="219"/>
      <c r="M68" s="69" t="b">
        <f>INDEX(Public_Engine_Mods, 18, 4)</f>
        <v>0</v>
      </c>
      <c r="O68" s="212" t="b">
        <f>INDEX(Public_Suspension_Mods, 9, 4)</f>
        <v>0</v>
      </c>
    </row>
    <row r="69" spans="1:15" ht="14.1" customHeight="1" x14ac:dyDescent="0.45">
      <c r="A69" s="69">
        <f>INDEX(Public_Engine_Mods, 19, 2)</f>
        <v>1</v>
      </c>
      <c r="B69" s="220" t="str">
        <f>INDEX(Public_Engine_Mods, 19, 3)</f>
        <v>Non-Factory Trim/modified intercooler pipes only</v>
      </c>
      <c r="C69" s="221"/>
      <c r="D69" s="221"/>
      <c r="E69" s="222"/>
      <c r="F69" s="65"/>
      <c r="G69" s="212"/>
      <c r="H69" s="219"/>
      <c r="I69" s="219"/>
      <c r="J69" s="219"/>
      <c r="K69" s="219"/>
      <c r="M69" s="69" t="b">
        <f>INDEX(Public_Engine_Mods, 19, 4)</f>
        <v>0</v>
      </c>
      <c r="O69" s="212"/>
    </row>
    <row r="70" spans="1:15" ht="14.1" customHeight="1" x14ac:dyDescent="0.45">
      <c r="A70" s="226" t="str">
        <f>INDEX(Public_Engine_Mods, 20, 2)</f>
        <v>Dyno</v>
      </c>
      <c r="B70" s="219" t="str">
        <f>INDEX(Public_Engine_Mods, 20, 3)</f>
        <v>Non-Factory Trim/modified camshafts, rocker arms, pushrods, or cam gears that adjust cam timing or lift</v>
      </c>
      <c r="C70" s="219"/>
      <c r="D70" s="219"/>
      <c r="E70" s="219"/>
      <c r="F70" s="65"/>
      <c r="G70" s="212">
        <f>INDEX(Public_Suspension_Mods, 10, 2)</f>
        <v>1</v>
      </c>
      <c r="H70" s="219" t="str">
        <f>INDEX(Public_Suspension_Mods, 10, 3)</f>
        <v>Non-Factory Trim engine bracing (not including motor and other drivetrain mounts)</v>
      </c>
      <c r="I70" s="219"/>
      <c r="J70" s="219"/>
      <c r="K70" s="219"/>
      <c r="M70" s="226" t="b">
        <f>INDEX(Public_Engine_Mods, 20, 4)</f>
        <v>0</v>
      </c>
      <c r="O70" s="212" t="b">
        <f>INDEX(Public_Suspension_Mods, 10, 4)</f>
        <v>0</v>
      </c>
    </row>
    <row r="71" spans="1:15" ht="14.1" customHeight="1" x14ac:dyDescent="0.45">
      <c r="A71" s="226"/>
      <c r="B71" s="219"/>
      <c r="C71" s="219"/>
      <c r="D71" s="219"/>
      <c r="E71" s="219"/>
      <c r="F71" s="65"/>
      <c r="G71" s="212"/>
      <c r="H71" s="219"/>
      <c r="I71" s="219"/>
      <c r="J71" s="219"/>
      <c r="K71" s="219"/>
      <c r="M71" s="226"/>
      <c r="O71" s="212"/>
    </row>
    <row r="72" spans="1:15" ht="14.1" customHeight="1" x14ac:dyDescent="0.45">
      <c r="A72" s="69" t="str">
        <f>INDEX(Public_Engine_Mods, 21, 2)</f>
        <v>Dyno</v>
      </c>
      <c r="B72" s="211" t="str">
        <f>INDEX(Public_Engine_Mods, 21, 3)</f>
        <v>Ported/polished Factory Trim cylinder heads</v>
      </c>
      <c r="C72" s="211"/>
      <c r="D72" s="211"/>
      <c r="E72" s="211"/>
      <c r="F72" s="65"/>
      <c r="G72" s="75">
        <f>INDEX(Public_Suspension_Mods, 11, 2)</f>
        <v>1</v>
      </c>
      <c r="H72" s="220" t="str">
        <f>INDEX(Public_Suspension_Mods, 11, 3)</f>
        <v>Non-Factory Trim/Modified Control Arms or Non-Factory Trim/Modified Trailing or Camber Arms of different dimensions than Factory Trim</v>
      </c>
      <c r="I72" s="221"/>
      <c r="J72" s="221"/>
      <c r="K72" s="222"/>
      <c r="M72" s="69" t="b">
        <f>INDEX(Public_Engine_Mods, 21, 4)</f>
        <v>0</v>
      </c>
      <c r="O72" s="75" t="b">
        <f>INDEX(Public_Suspension_Mods, 11, 4)</f>
        <v>0</v>
      </c>
    </row>
    <row r="73" spans="1:15" ht="14.1" customHeight="1" x14ac:dyDescent="0.45">
      <c r="A73" s="69" t="str">
        <f>INDEX(Public_Engine_Mods, 22, 2)</f>
        <v>Dyno</v>
      </c>
      <c r="B73" s="211" t="str">
        <f>INDEX(Public_Engine_Mods, 22, 3)</f>
        <v>Non-Factory Trim cylinder heads</v>
      </c>
      <c r="C73" s="211"/>
      <c r="D73" s="211"/>
      <c r="E73" s="211"/>
      <c r="F73" s="65"/>
      <c r="G73" s="212">
        <f>INDEX(Public_Suspension_Mods, 12, 2)</f>
        <v>2</v>
      </c>
      <c r="H73" s="213" t="str">
        <f>INDEX(Public_Suspension_Mods, 12, 3)</f>
        <v>Modification of wishbone suspension upright</v>
      </c>
      <c r="I73" s="214"/>
      <c r="J73" s="214"/>
      <c r="K73" s="215"/>
      <c r="M73" s="69" t="b">
        <f>INDEX(Public_Engine_Mods, 22, 4)</f>
        <v>0</v>
      </c>
      <c r="O73" s="212" t="b">
        <f>INDEX(Public_Suspension_Mods, 12, 4)</f>
        <v>0</v>
      </c>
    </row>
    <row r="74" spans="1:15" ht="14.1" customHeight="1" x14ac:dyDescent="0.45">
      <c r="A74" s="69" t="str">
        <f>INDEX(Public_Engine_Mods, 23, 2)</f>
        <v>Dyno</v>
      </c>
      <c r="B74" s="211" t="str">
        <f>INDEX(Public_Engine_Mods, 23, 3)</f>
        <v>Non-Factory Trim/modified engine intake/exhaust valves</v>
      </c>
      <c r="C74" s="211"/>
      <c r="D74" s="211"/>
      <c r="E74" s="211"/>
      <c r="F74" s="65"/>
      <c r="G74" s="212"/>
      <c r="H74" s="216"/>
      <c r="I74" s="217"/>
      <c r="J74" s="217"/>
      <c r="K74" s="218"/>
      <c r="M74" s="69" t="b">
        <f>INDEX(Public_Engine_Mods, 23, 4)</f>
        <v>0</v>
      </c>
      <c r="O74" s="212"/>
    </row>
    <row r="75" spans="1:15" ht="14.1" customHeight="1" x14ac:dyDescent="0.45">
      <c r="A75" s="69" t="str">
        <f>INDEX(Public_Engine_Mods, 24, 2)</f>
        <v>Dyno</v>
      </c>
      <c r="B75" s="211" t="str">
        <f>INDEX(Public_Engine_Mods, 24, 3)</f>
        <v>Increased displacement by more than 1%</v>
      </c>
      <c r="C75" s="211"/>
      <c r="D75" s="211"/>
      <c r="E75" s="211"/>
      <c r="F75" s="65"/>
      <c r="G75" s="69">
        <f>INDEX(Public_Suspension_Mods, 13, 2)</f>
        <v>1</v>
      </c>
      <c r="H75" s="219" t="str">
        <f>INDEX(Public_Suspension_Mods, 13, 3)</f>
        <v>Non-Factory Trim subframe that does not alter suspension geometry</v>
      </c>
      <c r="I75" s="219"/>
      <c r="J75" s="219"/>
      <c r="K75" s="219"/>
      <c r="M75" s="69" t="b">
        <f>INDEX(Public_Engine_Mods, 24, 4)</f>
        <v>0</v>
      </c>
      <c r="O75" s="69" t="b">
        <f>INDEX(Public_Suspension_Mods, 13, 4)</f>
        <v>0</v>
      </c>
    </row>
    <row r="76" spans="1:15" ht="14.1" customHeight="1" x14ac:dyDescent="0.45">
      <c r="A76" s="69">
        <f>INDEX(Public_Engine_Mods, 25, 2)</f>
        <v>0</v>
      </c>
      <c r="B76" s="211" t="str">
        <f>INDEX(Public_Engine_Mods, 25, 3)</f>
        <v>Increase compression ratio by .50 or less</v>
      </c>
      <c r="C76" s="211"/>
      <c r="D76" s="211"/>
      <c r="E76" s="211"/>
      <c r="F76" s="65"/>
      <c r="G76" s="69">
        <f>INDEX(Public_Suspension_Mods, 14, 2)</f>
        <v>1</v>
      </c>
      <c r="H76" s="219" t="str">
        <f>INDEX(Public_Suspension_Mods, 14, 3)</f>
        <v>Non-Factory Trim/modified Watts Link</v>
      </c>
      <c r="I76" s="219"/>
      <c r="J76" s="219"/>
      <c r="K76" s="219"/>
      <c r="M76" s="69" t="b">
        <f>INDEX(Public_Engine_Mods, 25, 4)</f>
        <v>0</v>
      </c>
      <c r="O76" s="69" t="b">
        <f>INDEX(Public_Suspension_Mods, 14, 4)</f>
        <v>0</v>
      </c>
    </row>
    <row r="77" spans="1:15" ht="14.1" customHeight="1" x14ac:dyDescent="0.45">
      <c r="A77" s="69" t="str">
        <f>INDEX(Public_Engine_Mods, 26, 2)</f>
        <v>Dyno</v>
      </c>
      <c r="B77" s="211" t="str">
        <f>INDEX(Public_Engine_Mods, 26, 3)</f>
        <v>Increase compression ratio greater than .50</v>
      </c>
      <c r="C77" s="211"/>
      <c r="D77" s="211"/>
      <c r="E77" s="211"/>
      <c r="F77" s="65"/>
      <c r="G77" s="69">
        <f>INDEX(Public_Suspension_Mods, 15, 2)</f>
        <v>1</v>
      </c>
      <c r="H77" s="219" t="str">
        <f>INDEX(Public_Suspension_Mods, 15, 3)</f>
        <v>Non-Factory Trim/modified panhard bar</v>
      </c>
      <c r="I77" s="219"/>
      <c r="J77" s="219"/>
      <c r="K77" s="219"/>
      <c r="M77" s="69" t="b">
        <f>INDEX(Public_Engine_Mods, 26, 4)</f>
        <v>0</v>
      </c>
      <c r="O77" s="69" t="b">
        <f>INDEX(Public_Suspension_Mods, 15, 4)</f>
        <v>0</v>
      </c>
    </row>
    <row r="78" spans="1:15" ht="14.1" customHeight="1" x14ac:dyDescent="0.45">
      <c r="A78" s="69">
        <f>INDEX(Public_Engine_Mods, 27, 2)</f>
        <v>1</v>
      </c>
      <c r="B78" s="205" t="str">
        <f>INDEX(Public_Engine_Mods, 27, 3)</f>
        <v>Dry sump engine oil system</v>
      </c>
      <c r="C78" s="206"/>
      <c r="D78" s="206"/>
      <c r="E78" s="207"/>
      <c r="F78" s="65"/>
      <c r="G78" s="69">
        <f>INDEX(Public_Suspension_Mods, 16, 2)</f>
        <v>2</v>
      </c>
      <c r="H78" s="219" t="str">
        <f>INDEX(Public_Suspension_Mods, 16, 3)</f>
        <v>Non-Factory Trim torque bar</v>
      </c>
      <c r="I78" s="219"/>
      <c r="J78" s="219"/>
      <c r="K78" s="219"/>
      <c r="M78" s="69" t="b">
        <f>INDEX(Public_Engine_Mods, 27, 4)</f>
        <v>0</v>
      </c>
      <c r="O78" s="69" t="b">
        <f>INDEX(Public_Suspension_Mods, 16, 4)</f>
        <v>0</v>
      </c>
    </row>
    <row r="79" spans="1:15" ht="14.1" customHeight="1" x14ac:dyDescent="0.45">
      <c r="A79" s="69">
        <f>INDEX(Public_Engine_Mods, 28, 2)</f>
        <v>1</v>
      </c>
      <c r="B79" s="208" t="str">
        <f>INDEX(Public_Engine_Mods, 28, 3)</f>
        <v>Non-Factory Trim/modified header 1-6 cyl (pre-cat exhaust change)</v>
      </c>
      <c r="C79" s="209"/>
      <c r="D79" s="209"/>
      <c r="E79" s="210"/>
      <c r="F79" s="65"/>
      <c r="G79" s="69">
        <f>INDEX(Public_Suspension_Mods, 17, 2)</f>
        <v>1</v>
      </c>
      <c r="H79" s="219" t="str">
        <f>INDEX(Public_Suspension_Mods, 17, 3)</f>
        <v>Modify OEM torque bar</v>
      </c>
      <c r="I79" s="219"/>
      <c r="J79" s="219"/>
      <c r="K79" s="219"/>
      <c r="M79" s="69" t="b">
        <f>INDEX(Public_Engine_Mods, 28, 4)</f>
        <v>0</v>
      </c>
      <c r="O79" s="69" t="b">
        <f>INDEX(Public_Suspension_Mods, 17, 4)</f>
        <v>0</v>
      </c>
    </row>
    <row r="80" spans="1:15" ht="14.1" customHeight="1" x14ac:dyDescent="0.45">
      <c r="A80" s="69">
        <f>INDEX(Public_Engine_Mods, 29, 2)</f>
        <v>2</v>
      </c>
      <c r="B80" s="205" t="str">
        <f>INDEX(Public_Engine_Mods, 29, 3)</f>
        <v>Non-Factory Trim/modified header 7-12 cyl (pre-cat exhaust change)</v>
      </c>
      <c r="C80" s="206"/>
      <c r="D80" s="206"/>
      <c r="E80" s="207"/>
      <c r="F80" s="65"/>
      <c r="G80" s="212">
        <f>INDEX(Public_Suspension_Mods, 18, 2)</f>
        <v>1</v>
      </c>
      <c r="H80" s="219" t="str">
        <f>INDEX(Public_Suspension_Mods, 18, 3)</f>
        <v>Non-Factory Trim suspension bushings or spherical bearings, except rubber or polyurethane</v>
      </c>
      <c r="I80" s="219"/>
      <c r="J80" s="219"/>
      <c r="K80" s="219"/>
      <c r="M80" s="69" t="b">
        <f>INDEX(Public_Engine_Mods, 29, 4)</f>
        <v>0</v>
      </c>
      <c r="O80" s="212" t="b">
        <f>INDEX(Public_Suspension_Mods, 18, 4)</f>
        <v>0</v>
      </c>
    </row>
    <row r="81" spans="1:15" ht="14.1" customHeight="1" x14ac:dyDescent="0.45">
      <c r="A81" s="69">
        <f>INDEX(Public_Engine_Mods, 30, 2)</f>
        <v>1</v>
      </c>
      <c r="B81" s="205" t="str">
        <f>INDEX(Public_Engine_Mods, 30, 3)</f>
        <v xml:space="preserve">Non-Factory Trim/modified exhaust beyond the catalytic converter (e.g. cat back exhaust) </v>
      </c>
      <c r="C81" s="206"/>
      <c r="D81" s="206"/>
      <c r="E81" s="207"/>
      <c r="F81" s="65"/>
      <c r="G81" s="212"/>
      <c r="H81" s="219"/>
      <c r="I81" s="219"/>
      <c r="J81" s="219"/>
      <c r="K81" s="219"/>
      <c r="M81" s="69" t="b">
        <f>INDEX(Public_Engine_Mods, 30, 4)</f>
        <v>0</v>
      </c>
      <c r="O81" s="212"/>
    </row>
    <row r="82" spans="1:15" ht="14.1" customHeight="1" x14ac:dyDescent="0.45">
      <c r="A82" s="69">
        <f>INDEX(Public_Engine_Mods, 31, 2)</f>
        <v>1</v>
      </c>
      <c r="B82" s="96" t="str">
        <f>INDEX(Public_Engine_Mods, 31, 3)</f>
        <v>Non-Factory Trim/modified catalytic converter(s)</v>
      </c>
      <c r="C82" s="96"/>
      <c r="D82" s="96"/>
      <c r="E82" s="96"/>
      <c r="F82" s="65"/>
      <c r="G82" s="212">
        <f>INDEX(Public_Suspension_Mods, 19, 2)</f>
        <v>1</v>
      </c>
      <c r="H82" s="219" t="str">
        <f>INDEX(Public_Suspension_Mods, 19, 3)</f>
        <v>Non-Factory Trim/modified suspension components which enable alignment settings beyond Factory Trim capability (does not apply to coil springs, leaf springs, or torsion bars); note - additional points may need to be taken for specific non-Factory Trim suspension components if listed elsewhere in this section</v>
      </c>
      <c r="I82" s="219"/>
      <c r="J82" s="219"/>
      <c r="K82" s="219"/>
      <c r="M82" s="69" t="b">
        <f>INDEX(Public_Engine_Mods, 31, 4)</f>
        <v>0</v>
      </c>
      <c r="O82" s="212" t="b">
        <f>INDEX(Public_Suspension_Mods, 19, 4)</f>
        <v>0</v>
      </c>
    </row>
    <row r="83" spans="1:15" ht="14.1" customHeight="1" x14ac:dyDescent="0.45">
      <c r="A83" s="69">
        <f>INDEX(Public_Engine_Mods, 32, 2)</f>
        <v>1</v>
      </c>
      <c r="B83" s="205" t="str">
        <f>INDEX(Public_Engine_Mods, 32, 3)</f>
        <v>Complete removal or “gutting” of OEM catalytic converter(s) (i.e. “test pipe” in place of catalytic converter)</v>
      </c>
      <c r="C83" s="206"/>
      <c r="D83" s="206"/>
      <c r="E83" s="207"/>
      <c r="F83" s="65"/>
      <c r="G83" s="212"/>
      <c r="H83" s="219"/>
      <c r="I83" s="219"/>
      <c r="J83" s="219"/>
      <c r="K83" s="219"/>
      <c r="M83" s="69" t="b">
        <f>INDEX(Public_Engine_Mods, 32, 4)</f>
        <v>0</v>
      </c>
      <c r="O83" s="212"/>
    </row>
    <row r="84" spans="1:15" ht="14.1" customHeight="1" x14ac:dyDescent="0.45">
      <c r="A84" s="69">
        <f>INDEX(Public_Engine_Mods, 33, 2)</f>
        <v>1</v>
      </c>
      <c r="B84" s="205" t="str">
        <f>INDEX(Public_Engine_Mods, 33, 3)</f>
        <v>Non-Factory Trim/modified power steering, crank pulley</v>
      </c>
      <c r="C84" s="206"/>
      <c r="D84" s="206"/>
      <c r="E84" s="207"/>
      <c r="F84" s="65"/>
      <c r="G84" s="69"/>
      <c r="H84" s="71" t="s">
        <v>480</v>
      </c>
      <c r="I84" s="67"/>
      <c r="J84" s="67"/>
      <c r="K84" s="67"/>
      <c r="M84" s="69" t="b">
        <f>INDEX(Public_Engine_Mods, 33, 4)</f>
        <v>0</v>
      </c>
      <c r="O84" s="71" t="s">
        <v>480</v>
      </c>
    </row>
    <row r="85" spans="1:15" ht="14.1" customHeight="1" x14ac:dyDescent="0.45">
      <c r="A85" s="69">
        <f>INDEX(Public_Engine_Mods, 34, 2)</f>
        <v>1</v>
      </c>
      <c r="B85" s="205" t="str">
        <f>INDEX(Public_Engine_Mods, 34, 3)</f>
        <v>Non-Factory Trim/modified/deleted engine or accessory fan and/or other engine accessories not otherwise listed</v>
      </c>
      <c r="C85" s="206"/>
      <c r="D85" s="206"/>
      <c r="E85" s="207"/>
      <c r="F85" s="65"/>
      <c r="G85" s="69">
        <f>INDEX(Public_Exterior_Mods, 1, 2)</f>
        <v>1</v>
      </c>
      <c r="H85" s="205" t="str">
        <f>INDEX(Public_Exterior_Mods, 1, 3)</f>
        <v>Non-Factory Trim/modified front bumper/air dam/spoiler</v>
      </c>
      <c r="I85" s="206"/>
      <c r="J85" s="206"/>
      <c r="K85" s="207"/>
      <c r="M85" s="69" t="b">
        <f>INDEX(Public_Engine_Mods, 34, 4)</f>
        <v>0</v>
      </c>
      <c r="O85" s="69" t="b">
        <f>INDEX(Public_Exterior_Mods, 1, 4)</f>
        <v>0</v>
      </c>
    </row>
    <row r="86" spans="1:15" ht="14.1" customHeight="1" x14ac:dyDescent="0.45">
      <c r="A86" s="69" t="str">
        <f>INDEX(Public_Engine_Mods, 35, 2)</f>
        <v>Dyno</v>
      </c>
      <c r="B86" s="205" t="str">
        <f>INDEX(Public_Engine_Mods, 35, 3)</f>
        <v>Street Port, rotary engines</v>
      </c>
      <c r="C86" s="206"/>
      <c r="D86" s="206"/>
      <c r="E86" s="207"/>
      <c r="F86" s="65"/>
      <c r="G86" s="69">
        <f>INDEX(Public_Exterior_Mods, 2, 2)</f>
        <v>1</v>
      </c>
      <c r="H86" s="205" t="str">
        <f>INDEX(Public_Exterior_Mods, 2, 3)</f>
        <v>Non-Factory Trim/modified front splitter, in addition to bumper/air dam/spoiler</v>
      </c>
      <c r="I86" s="206"/>
      <c r="J86" s="206"/>
      <c r="K86" s="207"/>
      <c r="M86" s="69" t="b">
        <f>INDEX(Public_Engine_Mods, 35, 4)</f>
        <v>0</v>
      </c>
      <c r="O86" s="69" t="b">
        <f>INDEX(Public_Exterior_Mods, 2, 4)</f>
        <v>0</v>
      </c>
    </row>
    <row r="87" spans="1:15" ht="14.1" customHeight="1" x14ac:dyDescent="0.45">
      <c r="A87" s="69" t="str">
        <f>INDEX(Public_Engine_Mods, 36, 2)</f>
        <v>Dyno</v>
      </c>
      <c r="B87" s="205" t="str">
        <f>INDEX(Public_Engine_Mods, 36, 3)</f>
        <v>Bridge Port, rotary engines</v>
      </c>
      <c r="C87" s="206"/>
      <c r="D87" s="206"/>
      <c r="E87" s="207"/>
      <c r="F87" s="65"/>
      <c r="G87" s="212">
        <f>INDEX(Public_Exterior_Mods, 3, 2)</f>
        <v>2</v>
      </c>
      <c r="H87" s="213" t="str">
        <f>INDEX(Public_Exterior_Mods, 3, 3)</f>
        <v>Non-Factory Trim/modified front splitter that extends more than 3.5 inches from front bumper skin leading edge, in addition to bumper/air dam/spoiler</v>
      </c>
      <c r="I87" s="214"/>
      <c r="J87" s="214"/>
      <c r="K87" s="215"/>
      <c r="M87" s="69" t="b">
        <f>INDEX(Public_Engine_Mods, 36, 4)</f>
        <v>0</v>
      </c>
      <c r="O87" s="212" t="b">
        <f>INDEX(Public_Exterior_Mods, 3, 4)</f>
        <v>0</v>
      </c>
    </row>
    <row r="88" spans="1:15" ht="14.1" customHeight="1" x14ac:dyDescent="0.45">
      <c r="A88" s="69" t="str">
        <f>INDEX(Public_Engine_Mods, 37, 2)</f>
        <v>Dyno</v>
      </c>
      <c r="B88" s="205" t="str">
        <f>INDEX(Public_Engine_Mods, 37, 3)</f>
        <v>Peripheral Port, rotary engines</v>
      </c>
      <c r="C88" s="206"/>
      <c r="D88" s="206"/>
      <c r="E88" s="207"/>
      <c r="F88" s="65"/>
      <c r="G88" s="212"/>
      <c r="H88" s="216"/>
      <c r="I88" s="217"/>
      <c r="J88" s="217"/>
      <c r="K88" s="218"/>
      <c r="M88" s="69" t="b">
        <f>INDEX(Public_Engine_Mods, 37, 4)</f>
        <v>0</v>
      </c>
      <c r="O88" s="212"/>
    </row>
    <row r="89" spans="1:15" ht="14.1" customHeight="1" x14ac:dyDescent="0.45">
      <c r="A89" s="69" t="str">
        <f>INDEX(Public_Engine_Mods, 38, 2)</f>
        <v>Dyno</v>
      </c>
      <c r="B89" s="205" t="str">
        <f>INDEX(Public_Engine_Mods, 38, 3)</f>
        <v>Non-Factory Trim/modified Pistons, Rods</v>
      </c>
      <c r="C89" s="206"/>
      <c r="D89" s="206"/>
      <c r="E89" s="207"/>
      <c r="F89" s="65"/>
      <c r="G89" s="69">
        <f>INDEX(Public_Exterior_Mods, 4, 2)</f>
        <v>1</v>
      </c>
      <c r="H89" s="205" t="str">
        <f>INDEX(Public_Exterior_Mods, 4, 3)</f>
        <v>Non-Factory Trim/modified canards (each set assessed points front or rear)</v>
      </c>
      <c r="I89" s="206"/>
      <c r="J89" s="206"/>
      <c r="K89" s="207"/>
      <c r="M89" s="69" t="b">
        <f>INDEX(Public_Engine_Mods, 38, 4)</f>
        <v>0</v>
      </c>
      <c r="O89" s="69" t="b">
        <f>INDEX(Public_Exterior_Mods, 4, 4)</f>
        <v>0</v>
      </c>
    </row>
    <row r="90" spans="1:15" ht="14.1" customHeight="1" x14ac:dyDescent="0.45">
      <c r="A90" s="69" t="str">
        <f>INDEX(Public_Engine_Mods, 39, 2)</f>
        <v>Dyno</v>
      </c>
      <c r="B90" s="205" t="str">
        <f>INDEX(Public_Engine_Mods, 39, 3)</f>
        <v>Vehicles tuned and running ethanol content greater than 15%. (E.g. a vehicle tuned to run on e85)</v>
      </c>
      <c r="C90" s="206"/>
      <c r="D90" s="206"/>
      <c r="E90" s="207"/>
      <c r="F90" s="65"/>
      <c r="G90" s="69">
        <f>INDEX(Public_Exterior_Mods, 5, 2)</f>
        <v>1</v>
      </c>
      <c r="H90" s="205" t="str">
        <f>INDEX(Public_Exterior_Mods, 5, 3)</f>
        <v>Non-Factory Trim Rear spoiler or wing including any airfoil that in no way protrudes more than 6” from the mounting location of the spoiler or wing, does not exceed the height of the vehicle, and does not extend beyond the width of the rear quarter panels</v>
      </c>
      <c r="I90" s="206"/>
      <c r="J90" s="206"/>
      <c r="K90" s="207"/>
      <c r="M90" s="69" t="b">
        <f>INDEX(Public_Engine_Mods, 39, 4)</f>
        <v>0</v>
      </c>
      <c r="O90" s="69" t="b">
        <f>INDEX(Public_Exterior_Mods, 5, 4)</f>
        <v>0</v>
      </c>
    </row>
    <row r="91" spans="1:15" ht="14.1" customHeight="1" x14ac:dyDescent="0.45">
      <c r="A91" s="69">
        <f>INDEX(Public_Engine_Mods, 40, 2)</f>
        <v>0</v>
      </c>
      <c r="B91" s="205" t="str">
        <f>INDEX(Public_Engine_Mods, 40, 3)</f>
        <v>Any type of commercially available gasoline or diesel fuel</v>
      </c>
      <c r="C91" s="206"/>
      <c r="D91" s="206"/>
      <c r="E91" s="207"/>
      <c r="F91" s="65"/>
      <c r="G91" s="212">
        <f>INDEX(Public_Exterior_Mods, 6, 2)</f>
        <v>2</v>
      </c>
      <c r="H91" s="213" t="str">
        <f>INDEX(Public_Exterior_Mods, 6, 3)</f>
        <v>Non-Factory Trim Rear spoiler or wing including any airfoil that does not exceed the height of the vehicle, does not extend beyond the width of the rear quarter panels, and does not extend no more than 6" beyond the skin of the rear bumper</v>
      </c>
      <c r="I91" s="214"/>
      <c r="J91" s="214"/>
      <c r="K91" s="215"/>
      <c r="M91" s="69" t="b">
        <f>INDEX(Public_Engine_Mods, 40, 4)</f>
        <v>0</v>
      </c>
      <c r="O91" s="212" t="b">
        <f>INDEX(Public_Exterior_Mods, 6, 4)</f>
        <v>0</v>
      </c>
    </row>
    <row r="92" spans="1:15" ht="14.1" customHeight="1" x14ac:dyDescent="0.45">
      <c r="A92" s="69">
        <f>INDEX(Public_Engine_Mods, 41, 2)</f>
        <v>0</v>
      </c>
      <c r="B92" s="205" t="str">
        <f>INDEX(Public_Engine_Mods, 41, 3)</f>
        <v>Non-Factory Trim/modified fuses, relays, wiring, or addition of Power Distribution Modules</v>
      </c>
      <c r="C92" s="206"/>
      <c r="D92" s="206"/>
      <c r="E92" s="207"/>
      <c r="F92" s="65"/>
      <c r="G92" s="212"/>
      <c r="H92" s="216"/>
      <c r="I92" s="217"/>
      <c r="J92" s="217"/>
      <c r="K92" s="218"/>
      <c r="M92" s="69" t="b">
        <f>INDEX(Public_Engine_Mods, 41, 4)</f>
        <v>0</v>
      </c>
      <c r="O92" s="212"/>
    </row>
    <row r="93" spans="1:15" x14ac:dyDescent="0.45">
      <c r="A93" s="69">
        <f>INDEX(Public_Engine_Mods, 42, 2)</f>
        <v>0</v>
      </c>
      <c r="B93" s="205" t="str">
        <f>INDEX(Public_Engine_Mods, 42, 3)</f>
        <v>Non-Factory Trim hoses, belts, clamps</v>
      </c>
      <c r="C93" s="206"/>
      <c r="D93" s="206"/>
      <c r="E93" s="207"/>
      <c r="F93" s="65"/>
      <c r="G93" s="212">
        <f>INDEX(Public_Exterior_Mods, 7, 2)</f>
        <v>3</v>
      </c>
      <c r="H93" s="213" t="str">
        <f>INDEX(Public_Exterior_Mods, 7, 3)</f>
        <v>Non-Factory Trim Rear spoiler or wing including any air foil of any size or shape</v>
      </c>
      <c r="I93" s="214"/>
      <c r="J93" s="214"/>
      <c r="K93" s="215"/>
      <c r="M93" s="69" t="b">
        <f>INDEX(Public_Engine_Mods, 42, 4)</f>
        <v>0</v>
      </c>
      <c r="O93" s="212" t="b">
        <f>INDEX(Public_Exterior_Mods, 7, 4)</f>
        <v>0</v>
      </c>
    </row>
    <row r="94" spans="1:15" ht="15" customHeight="1" x14ac:dyDescent="0.45">
      <c r="A94" s="69">
        <f>INDEX(Public_Engine_Mods, 43, 2)</f>
        <v>0</v>
      </c>
      <c r="B94" s="205" t="str">
        <f>INDEX(Public_Engine_Mods, 43, 3)</f>
        <v>Non-Factory Trim air or fuel filters</v>
      </c>
      <c r="C94" s="206"/>
      <c r="D94" s="206"/>
      <c r="E94" s="207"/>
      <c r="F94" s="65"/>
      <c r="G94" s="212"/>
      <c r="H94" s="216"/>
      <c r="I94" s="217"/>
      <c r="J94" s="217"/>
      <c r="K94" s="218"/>
      <c r="M94" s="69" t="b">
        <f>INDEX(Public_Engine_Mods, 43, 4)</f>
        <v>0</v>
      </c>
      <c r="O94" s="212"/>
    </row>
    <row r="95" spans="1:15" x14ac:dyDescent="0.45">
      <c r="A95" s="69"/>
      <c r="B95" s="71" t="s">
        <v>45</v>
      </c>
      <c r="C95" s="97"/>
      <c r="D95" s="97"/>
      <c r="E95" s="97"/>
      <c r="F95" s="65"/>
      <c r="G95" s="69">
        <f>INDEX(Public_Exterior_Mods, 8, 2)</f>
        <v>1</v>
      </c>
      <c r="H95" s="205" t="str">
        <f>INDEX(Public_Exterior_Mods, 8, 3)</f>
        <v>Non-Factory Trim hardtop of different shape and size which alters airflow aft of the OEM rear glass (eg CWest Honda S2000 aero hardtop)</v>
      </c>
      <c r="I95" s="206"/>
      <c r="J95" s="206"/>
      <c r="K95" s="207"/>
      <c r="M95" s="69"/>
      <c r="O95" s="69" t="b">
        <f>INDEX(Public_Exterior_Mods, 8, 4)</f>
        <v>0</v>
      </c>
    </row>
    <row r="96" spans="1:15" x14ac:dyDescent="0.45">
      <c r="A96" s="69">
        <f>INDEX(Public_Brake_Mods, 1, 2)</f>
        <v>1</v>
      </c>
      <c r="B96" s="205" t="str">
        <f>INDEX(Public_Brake_Mods, 1, 3)</f>
        <v>Non‐Factory Trim brake calipers, drums, and/or rotors of a different size ‐ front, rear or both</v>
      </c>
      <c r="C96" s="206"/>
      <c r="D96" s="206"/>
      <c r="E96" s="207"/>
      <c r="F96" s="65"/>
      <c r="G96" s="69">
        <f>INDEX(Public_Exterior_Mods, 10, 2)</f>
        <v>1</v>
      </c>
      <c r="H96" s="205" t="str">
        <f>INDEX(Public_Exterior_Mods, 10, 3)</f>
        <v>Non-Factory Trim/modified vortex generator to roof, hardtop, rear glass or trunk</v>
      </c>
      <c r="I96" s="206"/>
      <c r="J96" s="206"/>
      <c r="K96" s="207"/>
      <c r="M96" s="69" t="b">
        <f>INDEX(Public_Brake_Mods, 1, 4)</f>
        <v>0</v>
      </c>
      <c r="O96" s="69" t="b">
        <f>INDEX(Public_Exterior_Mods, 10, 4)</f>
        <v>0</v>
      </c>
    </row>
    <row r="97" spans="1:15" x14ac:dyDescent="0.45">
      <c r="A97" s="69">
        <f>INDEX(Public_Brake_Mods, 2, 2)</f>
        <v>2</v>
      </c>
      <c r="B97" s="205" t="str">
        <f>INDEX(Public_Brake_Mods, 2, 3)</f>
        <v>Non-Factory Trim/modified ABS (e.g. Bosch Motorsport ABS)</v>
      </c>
      <c r="C97" s="206"/>
      <c r="D97" s="206"/>
      <c r="E97" s="207"/>
      <c r="F97" s="65"/>
      <c r="G97" s="69">
        <f>INDEX(Public_Exterior_Mods, 11, 2)</f>
        <v>2</v>
      </c>
      <c r="H97" s="205" t="str">
        <f>INDEX(Public_Exterior_Mods, 11, 3)</f>
        <v>Non-Factory Trim/modified flat bottom</v>
      </c>
      <c r="I97" s="206"/>
      <c r="J97" s="206"/>
      <c r="K97" s="207"/>
      <c r="M97" s="69" t="b">
        <f>INDEX(Public_Brake_Mods, 2, 4)</f>
        <v>0</v>
      </c>
      <c r="O97" s="69" t="b">
        <f>INDEX(Public_Exterior_Mods, 11, 4)</f>
        <v>0</v>
      </c>
    </row>
    <row r="98" spans="1:15" x14ac:dyDescent="0.45">
      <c r="A98" s="69">
        <f>INDEX(Public_Brake_Mods, 3, 2)</f>
        <v>-1</v>
      </c>
      <c r="B98" s="205" t="str">
        <f>INDEX(Public_Brake_Mods, 3, 3)</f>
        <v>Disabling any and all factory and/or aftermarket ABS or competing in a vehicle not originally equipped with ABS</v>
      </c>
      <c r="C98" s="206"/>
      <c r="D98" s="206"/>
      <c r="E98" s="207"/>
      <c r="F98" s="65"/>
      <c r="G98" s="69">
        <f>INDEX(Public_Exterior_Mods, 12, 2)</f>
        <v>2</v>
      </c>
      <c r="H98" s="205" t="str">
        <f>INDEX(Public_Exterior_Mods, 12, 3)</f>
        <v>Non-Factory Trim/modified rear diffuser</v>
      </c>
      <c r="I98" s="206"/>
      <c r="J98" s="206"/>
      <c r="K98" s="207"/>
      <c r="M98" s="69" t="b">
        <f>INDEX(Public_Brake_Mods, 3, 4)</f>
        <v>0</v>
      </c>
      <c r="O98" s="69" t="b">
        <f>INDEX(Public_Exterior_Mods, 12, 4)</f>
        <v>0</v>
      </c>
    </row>
    <row r="99" spans="1:15" x14ac:dyDescent="0.45">
      <c r="F99" s="65"/>
      <c r="G99" s="69">
        <f>INDEX(Public_Exterior_Mods, 13, 2)</f>
        <v>1</v>
      </c>
      <c r="H99" s="205" t="str">
        <f>INDEX(Public_Exterior_Mods, 13, 3)</f>
        <v>Non-Factory Trim/modified side skirts</v>
      </c>
      <c r="I99" s="206"/>
      <c r="J99" s="206"/>
      <c r="K99" s="207"/>
      <c r="O99" s="69" t="b">
        <f>INDEX(Public_Exterior_Mods, 13, 4)</f>
        <v>0</v>
      </c>
    </row>
    <row r="100" spans="1:15" x14ac:dyDescent="0.45">
      <c r="G100" s="69">
        <f>INDEX(Public_Exterior_Mods, 14, 2)</f>
        <v>4</v>
      </c>
      <c r="H100" s="211" t="str">
        <f>INDEX(Public_Exterior_Mods, 14, 3)</f>
        <v>Non-factory trim Active aero, i.e. moveable aero devices; points assessed for each piece, in addition to assessment points listed above (set number of pieces below)</v>
      </c>
      <c r="I100" s="211"/>
      <c r="J100" s="211"/>
      <c r="K100" s="211"/>
      <c r="O100" s="69" t="b">
        <f>INDEX(Public_Exterior_Mods, 14, 4)</f>
        <v>0</v>
      </c>
    </row>
  </sheetData>
  <mergeCells count="177">
    <mergeCell ref="O73:O74"/>
    <mergeCell ref="O80:O81"/>
    <mergeCell ref="O82:O83"/>
    <mergeCell ref="O87:O88"/>
    <mergeCell ref="O91:O92"/>
    <mergeCell ref="O93:O94"/>
    <mergeCell ref="M47:M48"/>
    <mergeCell ref="M50:M51"/>
    <mergeCell ref="M59:M60"/>
    <mergeCell ref="M61:M62"/>
    <mergeCell ref="M70:M71"/>
    <mergeCell ref="O50:O51"/>
    <mergeCell ref="O53:O54"/>
    <mergeCell ref="O62:O63"/>
    <mergeCell ref="O68:O69"/>
    <mergeCell ref="O70:O71"/>
    <mergeCell ref="B1:J1"/>
    <mergeCell ref="A4:E4"/>
    <mergeCell ref="G4:K4"/>
    <mergeCell ref="A6:E6"/>
    <mergeCell ref="A12:E12"/>
    <mergeCell ref="G12:K12"/>
    <mergeCell ref="G8:I8"/>
    <mergeCell ref="G9:I9"/>
    <mergeCell ref="G10:I10"/>
    <mergeCell ref="G6:H6"/>
    <mergeCell ref="J8:K8"/>
    <mergeCell ref="J9:K9"/>
    <mergeCell ref="J10:K10"/>
    <mergeCell ref="J6:K6"/>
    <mergeCell ref="A8:E10"/>
    <mergeCell ref="G11:I11"/>
    <mergeCell ref="J11:K11"/>
    <mergeCell ref="H27:I27"/>
    <mergeCell ref="J27:K27"/>
    <mergeCell ref="G13:I13"/>
    <mergeCell ref="G14:I14"/>
    <mergeCell ref="J13:K13"/>
    <mergeCell ref="J14:K14"/>
    <mergeCell ref="J15:K15"/>
    <mergeCell ref="G15:I15"/>
    <mergeCell ref="A25:C25"/>
    <mergeCell ref="J25:K25"/>
    <mergeCell ref="G25:I25"/>
    <mergeCell ref="H26:I26"/>
    <mergeCell ref="J26:K26"/>
    <mergeCell ref="G17:I17"/>
    <mergeCell ref="J17:K17"/>
    <mergeCell ref="A13:C13"/>
    <mergeCell ref="A15:C15"/>
    <mergeCell ref="A17:C17"/>
    <mergeCell ref="A19:C19"/>
    <mergeCell ref="A21:C21"/>
    <mergeCell ref="A23:C23"/>
    <mergeCell ref="A27:C27"/>
    <mergeCell ref="J18:K18"/>
    <mergeCell ref="G18:I18"/>
    <mergeCell ref="A50:A51"/>
    <mergeCell ref="A47:A48"/>
    <mergeCell ref="A39:C39"/>
    <mergeCell ref="E39:G39"/>
    <mergeCell ref="I39:J39"/>
    <mergeCell ref="A30:E30"/>
    <mergeCell ref="D31:E31"/>
    <mergeCell ref="G30:K30"/>
    <mergeCell ref="G31:H31"/>
    <mergeCell ref="A38:C38"/>
    <mergeCell ref="E38:G38"/>
    <mergeCell ref="I38:J38"/>
    <mergeCell ref="B47:E48"/>
    <mergeCell ref="B49:E49"/>
    <mergeCell ref="B50:E51"/>
    <mergeCell ref="H47:K47"/>
    <mergeCell ref="H48:K48"/>
    <mergeCell ref="H49:K49"/>
    <mergeCell ref="B46:C46"/>
    <mergeCell ref="A41:E42"/>
    <mergeCell ref="A70:A71"/>
    <mergeCell ref="A61:A62"/>
    <mergeCell ref="A59:A60"/>
    <mergeCell ref="B70:E71"/>
    <mergeCell ref="B74:E74"/>
    <mergeCell ref="B73:E73"/>
    <mergeCell ref="B72:E72"/>
    <mergeCell ref="B61:E62"/>
    <mergeCell ref="B91:E91"/>
    <mergeCell ref="B85:E85"/>
    <mergeCell ref="B86:E86"/>
    <mergeCell ref="B87:E87"/>
    <mergeCell ref="B88:E88"/>
    <mergeCell ref="B65:E65"/>
    <mergeCell ref="B58:E58"/>
    <mergeCell ref="B59:E60"/>
    <mergeCell ref="B63:E63"/>
    <mergeCell ref="B64:E64"/>
    <mergeCell ref="B83:E83"/>
    <mergeCell ref="B84:E84"/>
    <mergeCell ref="B98:E98"/>
    <mergeCell ref="B52:E52"/>
    <mergeCell ref="B53:E53"/>
    <mergeCell ref="B54:E54"/>
    <mergeCell ref="B55:E55"/>
    <mergeCell ref="B56:E56"/>
    <mergeCell ref="B57:E57"/>
    <mergeCell ref="B66:E66"/>
    <mergeCell ref="B92:E92"/>
    <mergeCell ref="B93:E93"/>
    <mergeCell ref="B97:E97"/>
    <mergeCell ref="B94:E94"/>
    <mergeCell ref="B67:E67"/>
    <mergeCell ref="B68:E68"/>
    <mergeCell ref="B69:E69"/>
    <mergeCell ref="B96:E96"/>
    <mergeCell ref="B90:E90"/>
    <mergeCell ref="H80:K81"/>
    <mergeCell ref="H75:K75"/>
    <mergeCell ref="H76:K76"/>
    <mergeCell ref="H77:K77"/>
    <mergeCell ref="H78:K78"/>
    <mergeCell ref="H79:K79"/>
    <mergeCell ref="H72:K72"/>
    <mergeCell ref="B89:E89"/>
    <mergeCell ref="B78:E78"/>
    <mergeCell ref="B76:E76"/>
    <mergeCell ref="B75:E75"/>
    <mergeCell ref="H56:K56"/>
    <mergeCell ref="H68:K69"/>
    <mergeCell ref="H70:K71"/>
    <mergeCell ref="H65:K65"/>
    <mergeCell ref="H62:K63"/>
    <mergeCell ref="H66:K66"/>
    <mergeCell ref="H67:K67"/>
    <mergeCell ref="H60:K60"/>
    <mergeCell ref="H61:K61"/>
    <mergeCell ref="H64:K64"/>
    <mergeCell ref="H99:K99"/>
    <mergeCell ref="H100:K100"/>
    <mergeCell ref="H82:K83"/>
    <mergeCell ref="G82:G83"/>
    <mergeCell ref="H89:K89"/>
    <mergeCell ref="H86:K86"/>
    <mergeCell ref="H85:K85"/>
    <mergeCell ref="G87:G88"/>
    <mergeCell ref="G91:G92"/>
    <mergeCell ref="H97:K97"/>
    <mergeCell ref="H98:K98"/>
    <mergeCell ref="H95:K95"/>
    <mergeCell ref="H96:K96"/>
    <mergeCell ref="G93:G94"/>
    <mergeCell ref="H90:K90"/>
    <mergeCell ref="H87:K88"/>
    <mergeCell ref="H91:K92"/>
    <mergeCell ref="H93:K94"/>
    <mergeCell ref="G19:I19"/>
    <mergeCell ref="J19:K19"/>
    <mergeCell ref="G20:I20"/>
    <mergeCell ref="G21:I21"/>
    <mergeCell ref="J20:K20"/>
    <mergeCell ref="J21:K21"/>
    <mergeCell ref="B80:E80"/>
    <mergeCell ref="B81:E81"/>
    <mergeCell ref="B79:E79"/>
    <mergeCell ref="B77:E77"/>
    <mergeCell ref="G68:G69"/>
    <mergeCell ref="G62:G63"/>
    <mergeCell ref="G53:G54"/>
    <mergeCell ref="G50:G51"/>
    <mergeCell ref="G80:G81"/>
    <mergeCell ref="G70:G71"/>
    <mergeCell ref="G73:G74"/>
    <mergeCell ref="H73:K74"/>
    <mergeCell ref="H57:K57"/>
    <mergeCell ref="H59:K59"/>
    <mergeCell ref="H50:K51"/>
    <mergeCell ref="H53:K54"/>
    <mergeCell ref="H52:K52"/>
    <mergeCell ref="H55:K55"/>
  </mergeCells>
  <conditionalFormatting sqref="A47:A94">
    <cfRule type="expression" dxfId="8" priority="4" stopIfTrue="1">
      <formula>$M47</formula>
    </cfRule>
  </conditionalFormatting>
  <conditionalFormatting sqref="A96:A98">
    <cfRule type="expression" dxfId="7" priority="185" stopIfTrue="1">
      <formula>$M96</formula>
    </cfRule>
  </conditionalFormatting>
  <conditionalFormatting sqref="A8:E10">
    <cfRule type="expression" dxfId="6" priority="142">
      <formula>OR(Safety_Engine, Safety_mods)</formula>
    </cfRule>
  </conditionalFormatting>
  <conditionalFormatting sqref="E13">
    <cfRule type="expression" dxfId="5" priority="141">
      <formula>Safety_Engine</formula>
    </cfRule>
  </conditionalFormatting>
  <conditionalFormatting sqref="E27">
    <cfRule type="expression" dxfId="4" priority="140">
      <formula>Safety_mods</formula>
    </cfRule>
  </conditionalFormatting>
  <conditionalFormatting sqref="G47:G57">
    <cfRule type="expression" dxfId="3" priority="3">
      <formula>$O47</formula>
    </cfRule>
  </conditionalFormatting>
  <conditionalFormatting sqref="G59:G83">
    <cfRule type="expression" dxfId="2" priority="2">
      <formula>$O59</formula>
    </cfRule>
  </conditionalFormatting>
  <conditionalFormatting sqref="G85:G100">
    <cfRule type="expression" dxfId="1" priority="1">
      <formula>$O85</formula>
    </cfRule>
  </conditionalFormatting>
  <conditionalFormatting sqref="J13:J15">
    <cfRule type="expression" dxfId="0" priority="492">
      <formula>IF(ISNUMBER(Scrutineer_Engine_Points), TRUE,FALSE)</formula>
    </cfRule>
  </conditionalFormatting>
  <hyperlinks>
    <hyperlink ref="A1" location="Summary!A1" display="Home" xr:uid="{00000000-0004-0000-0A00-000000000000}"/>
    <hyperlink ref="A13:C13" location="'Engine Modifications'!A1" display="Engine total" xr:uid="{00000000-0004-0000-0A00-000001000000}"/>
    <hyperlink ref="A15:C15" location="'Drivetrain Modifications'!A1" display="Drivetrain" xr:uid="{00000000-0004-0000-0A00-000002000000}"/>
    <hyperlink ref="A17:C17" location="'Suspension Modifications'!A1" display="Suspension" xr:uid="{00000000-0004-0000-0A00-000003000000}"/>
    <hyperlink ref="A19:C19" location="'Brakes Modifications'!A1" display="Brakes" xr:uid="{00000000-0004-0000-0A00-000004000000}"/>
    <hyperlink ref="A21:C21" location="'Exterior Modifications'!A1" display="Exterior" xr:uid="{00000000-0004-0000-0A00-000005000000}"/>
    <hyperlink ref="A23:C23" location="'Weight Reduction'!A1" display="Weight Reduction" xr:uid="{00000000-0004-0000-0A00-000006000000}"/>
    <hyperlink ref="A25:C25" location="Tires!A1" display="Tire total" xr:uid="{00000000-0004-0000-0A00-000007000000}"/>
  </hyperlinks>
  <pageMargins left="0.25" right="0.25" top="0.25" bottom="0.25" header="0" footer="0.15"/>
  <pageSetup orientation="portrait" r:id="rId1"/>
  <headerFooter>
    <oddFooter>&amp;RPage &amp;P</oddFooter>
  </headerFooter>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01308FD-19BD-4EF2-9593-61C630EE23A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134</vt:i4>
      </vt:variant>
    </vt:vector>
  </HeadingPairs>
  <TitlesOfParts>
    <vt:vector size="145" baseType="lpstr">
      <vt:lpstr>Instructions</vt:lpstr>
      <vt:lpstr>Summary</vt:lpstr>
      <vt:lpstr>Vehicles</vt:lpstr>
      <vt:lpstr>Engine</vt:lpstr>
      <vt:lpstr>Drivetrain</vt:lpstr>
      <vt:lpstr>Suspension</vt:lpstr>
      <vt:lpstr>Brakes</vt:lpstr>
      <vt:lpstr>Exterior</vt:lpstr>
      <vt:lpstr>Weight</vt:lpstr>
      <vt:lpstr>Tires</vt:lpstr>
      <vt:lpstr>not used</vt:lpstr>
      <vt:lpstr>Brakes!ABSMods</vt:lpstr>
      <vt:lpstr>Summary!Assessments</vt:lpstr>
      <vt:lpstr>BallastAmount</vt:lpstr>
      <vt:lpstr>BallastFuelLevel</vt:lpstr>
      <vt:lpstr>BallastFuelType</vt:lpstr>
      <vt:lpstr>BallastLocation</vt:lpstr>
      <vt:lpstr>Base_Assessments</vt:lpstr>
      <vt:lpstr>Base_Classes</vt:lpstr>
      <vt:lpstr>Brakes!Brakes_mods_list</vt:lpstr>
      <vt:lpstr>Brand_Assessment</vt:lpstr>
      <vt:lpstr>Engine!CamsMods</vt:lpstr>
      <vt:lpstr>Car_Base_Class</vt:lpstr>
      <vt:lpstr>Car_Base_Points</vt:lpstr>
      <vt:lpstr>Car_Base_Weight</vt:lpstr>
      <vt:lpstr>Vehicles!Car_List</vt:lpstr>
      <vt:lpstr>Car_List</vt:lpstr>
      <vt:lpstr>Vehicles!Car_List_Top_Left</vt:lpstr>
      <vt:lpstr>Car_Make</vt:lpstr>
      <vt:lpstr>Car_Model</vt:lpstr>
      <vt:lpstr>Car_Scaled_Power</vt:lpstr>
      <vt:lpstr>Car_Select_Error</vt:lpstr>
      <vt:lpstr>Car_Selected_Truth</vt:lpstr>
      <vt:lpstr>Car_Valid</vt:lpstr>
      <vt:lpstr>Engine!CatsMods</vt:lpstr>
      <vt:lpstr>CIAMods</vt:lpstr>
      <vt:lpstr>Class_max</vt:lpstr>
      <vt:lpstr>Classification</vt:lpstr>
      <vt:lpstr>ClassificationTire</vt:lpstr>
      <vt:lpstr>'not used'!column1_topleft</vt:lpstr>
      <vt:lpstr>'not used'!column2_topleft</vt:lpstr>
      <vt:lpstr>Competition_class</vt:lpstr>
      <vt:lpstr>Competition_Weight</vt:lpstr>
      <vt:lpstr>Engine!CompressionMods</vt:lpstr>
      <vt:lpstr>COMSCC_2018_v1.0</vt:lpstr>
      <vt:lpstr>COMSCC_2018_v5.0</vt:lpstr>
      <vt:lpstr>COMSCC_2024_v12.0</vt:lpstr>
      <vt:lpstr>COMSCC_2024_v12.1</vt:lpstr>
      <vt:lpstr>COMSCC_2025_v5.0</vt:lpstr>
      <vt:lpstr>Engine!DisplaceIncrease</vt:lpstr>
      <vt:lpstr>Engine!DisplacementMods</vt:lpstr>
      <vt:lpstr>Engine!DisplacePoints</vt:lpstr>
      <vt:lpstr>Drivetrain!Drivetrain_mods_list</vt:lpstr>
      <vt:lpstr>Drivetrain_type</vt:lpstr>
      <vt:lpstr>Engine!dyno_names</vt:lpstr>
      <vt:lpstr>Dyno_Points</vt:lpstr>
      <vt:lpstr>Engine!Dyno_table</vt:lpstr>
      <vt:lpstr>Engine!ECUmods</vt:lpstr>
      <vt:lpstr>Engine!Engine_mods_list</vt:lpstr>
      <vt:lpstr>Engine_power_type</vt:lpstr>
      <vt:lpstr>Engine!EngineModsTotal</vt:lpstr>
      <vt:lpstr>Exterior!Exterior_mods_list</vt:lpstr>
      <vt:lpstr>Factory_Rated_HP</vt:lpstr>
      <vt:lpstr>Factory_Rated_Torque</vt:lpstr>
      <vt:lpstr>Weight!FuelAmount</vt:lpstr>
      <vt:lpstr>Weight!FuelLevelTable</vt:lpstr>
      <vt:lpstr>Weight!FuelType</vt:lpstr>
      <vt:lpstr>FuelType</vt:lpstr>
      <vt:lpstr>Drivetrain!Gearboxmods</vt:lpstr>
      <vt:lpstr>Exterior!Hardtopmods</vt:lpstr>
      <vt:lpstr>Engine!Headersmods</vt:lpstr>
      <vt:lpstr>Engine!Intakemods</vt:lpstr>
      <vt:lpstr>Is_Safety_upgrade</vt:lpstr>
      <vt:lpstr>Drivetrain!LSDmods</vt:lpstr>
      <vt:lpstr>NeedDyno</vt:lpstr>
      <vt:lpstr>Tires!per_10</vt:lpstr>
      <vt:lpstr>Tires!per_15</vt:lpstr>
      <vt:lpstr>Tires!per_20</vt:lpstr>
      <vt:lpstr>Points_Assessment</vt:lpstr>
      <vt:lpstr>Weight!PoundsPerGallon</vt:lpstr>
      <vt:lpstr>Brakes!Print_Area</vt:lpstr>
      <vt:lpstr>Drivetrain!Print_Area</vt:lpstr>
      <vt:lpstr>Engine!Print_Area</vt:lpstr>
      <vt:lpstr>Exterior!Print_Area</vt:lpstr>
      <vt:lpstr>'not used'!Print_Area</vt:lpstr>
      <vt:lpstr>Summary!Print_Area</vt:lpstr>
      <vt:lpstr>Suspension!Print_Area</vt:lpstr>
      <vt:lpstr>Tires!Print_Area</vt:lpstr>
      <vt:lpstr>Vehicles!Print_Area</vt:lpstr>
      <vt:lpstr>Weight!Print_Area</vt:lpstr>
      <vt:lpstr>Engine!Print_Titles</vt:lpstr>
      <vt:lpstr>Vehicles!Print_Titles</vt:lpstr>
      <vt:lpstr>Public_Brake_Mods</vt:lpstr>
      <vt:lpstr>Public_Drivetrain_Mods</vt:lpstr>
      <vt:lpstr>Public_Engine_Mods</vt:lpstr>
      <vt:lpstr>Public_Exterior_Mods</vt:lpstr>
      <vt:lpstr>Public_Suspension_Mods</vt:lpstr>
      <vt:lpstr>RotaryportsMods</vt:lpstr>
      <vt:lpstr>Safety_Engine</vt:lpstr>
      <vt:lpstr>Safety_mods</vt:lpstr>
      <vt:lpstr>Safety_Rules</vt:lpstr>
      <vt:lpstr>Scrutineer_Engine_Points</vt:lpstr>
      <vt:lpstr>Scrutineer_HP</vt:lpstr>
      <vt:lpstr>Scrutineer_Torque</vt:lpstr>
      <vt:lpstr>Tires!SelectCount</vt:lpstr>
      <vt:lpstr>Selected_Vehicle</vt:lpstr>
      <vt:lpstr>Suspension!Shocksmods</vt:lpstr>
      <vt:lpstr>Showroom_Assessment_Points</vt:lpstr>
      <vt:lpstr>Showroom_Base_Weight</vt:lpstr>
      <vt:lpstr>Showroom_Class</vt:lpstr>
      <vt:lpstr>Tires!Size_235</vt:lpstr>
      <vt:lpstr>Tires!Size_275</vt:lpstr>
      <vt:lpstr>SplitterMods</vt:lpstr>
      <vt:lpstr>Suspension!Springsmods</vt:lpstr>
      <vt:lpstr>Engine!SuperchargerMods</vt:lpstr>
      <vt:lpstr>Suspension!Suspension_mods_list</vt:lpstr>
      <vt:lpstr>Tires!Tire_Class_Width</vt:lpstr>
      <vt:lpstr>Tire_Competition_Class</vt:lpstr>
      <vt:lpstr>Tire_Compound</vt:lpstr>
      <vt:lpstr>Tires!Tire_Difference_Points</vt:lpstr>
      <vt:lpstr>Tires!Tire_list</vt:lpstr>
      <vt:lpstr>Tire_spec_width</vt:lpstr>
      <vt:lpstr>Tire_Type_Assessment</vt:lpstr>
      <vt:lpstr>Tire_Width</vt:lpstr>
      <vt:lpstr>Tire_Width_Assessment</vt:lpstr>
      <vt:lpstr>Title</vt:lpstr>
      <vt:lpstr>Suspension!Torquebarmods</vt:lpstr>
      <vt:lpstr>Brakes!Total</vt:lpstr>
      <vt:lpstr>Drivetrain!Total</vt:lpstr>
      <vt:lpstr>Exterior!Total</vt:lpstr>
      <vt:lpstr>Suspension!Total</vt:lpstr>
      <vt:lpstr>Tires!Total</vt:lpstr>
      <vt:lpstr>Total_Assessment</vt:lpstr>
      <vt:lpstr>Total_Brakes</vt:lpstr>
      <vt:lpstr>Total_Drivetrain</vt:lpstr>
      <vt:lpstr>Total_Engine</vt:lpstr>
      <vt:lpstr>Total_Exterior</vt:lpstr>
      <vt:lpstr>Total_Suspension</vt:lpstr>
      <vt:lpstr>Total_Tire</vt:lpstr>
      <vt:lpstr>Total_Weight</vt:lpstr>
      <vt:lpstr>Touring_Class</vt:lpstr>
      <vt:lpstr>TurboMods</vt:lpstr>
      <vt:lpstr>Version</vt:lpstr>
      <vt:lpstr>Weight_Difference</vt:lpstr>
      <vt:lpstr>Exterior!Wingmods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COMSCC 2020 v7.0</dc:title>
  <dc:creator>Party Palace</dc:creator>
  <cp:lastModifiedBy>Andrew LaValley</cp:lastModifiedBy>
  <cp:lastPrinted>2018-01-26T05:43:53Z</cp:lastPrinted>
  <dcterms:created xsi:type="dcterms:W3CDTF">2012-09-15T02:10:35Z</dcterms:created>
  <dcterms:modified xsi:type="dcterms:W3CDTF">2025-03-17T00:21:51Z</dcterms:modified>
</cp:coreProperties>
</file>